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o Tobler\Git\blog\public\static\files\"/>
    </mc:Choice>
  </mc:AlternateContent>
  <xr:revisionPtr revIDLastSave="0" documentId="13_ncr:1_{64C421EB-FBA4-4A7C-BC51-0CCD3F4BBAFD}" xr6:coauthVersionLast="46" xr6:coauthVersionMax="46" xr10:uidLastSave="{00000000-0000-0000-0000-000000000000}"/>
  <bookViews>
    <workbookView xWindow="-98" yWindow="-98" windowWidth="24196" windowHeight="13096" activeTab="1" xr2:uid="{2DF76A03-2950-42D5-9DA8-94941C21CFC1}"/>
  </bookViews>
  <sheets>
    <sheet name="3A Contribution" sheetId="4" r:id="rId1"/>
    <sheet name="Brokerage" sheetId="5" r:id="rId2"/>
    <sheet name="Savings" sheetId="7" r:id="rId3"/>
    <sheet name="Marginal Income Tax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4" i="5"/>
  <c r="G23" i="5"/>
  <c r="G25" i="7"/>
  <c r="G24" i="7"/>
  <c r="G23" i="7"/>
  <c r="D44" i="7"/>
  <c r="D44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5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5" i="7"/>
  <c r="D5" i="7" s="1"/>
  <c r="D6" i="7" s="1"/>
  <c r="D7" i="7" s="1"/>
  <c r="D8" i="7" s="1"/>
  <c r="D5" i="5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G26" i="5"/>
  <c r="G26" i="7"/>
  <c r="D16" i="1"/>
  <c r="D17" i="1"/>
  <c r="D15" i="1"/>
  <c r="D9" i="7" l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18" i="1"/>
  <c r="D6" i="5"/>
  <c r="D7" i="5" l="1"/>
  <c r="D8" i="5" l="1"/>
  <c r="D9" i="5" l="1"/>
  <c r="D10" i="5" l="1"/>
  <c r="D11" i="5" l="1"/>
  <c r="D12" i="5" l="1"/>
  <c r="D13" i="5" l="1"/>
  <c r="D14" i="5" l="1"/>
  <c r="D15" i="5" l="1"/>
  <c r="D16" i="5" l="1"/>
  <c r="D17" i="5" l="1"/>
  <c r="D18" i="5" l="1"/>
  <c r="D19" i="5" l="1"/>
  <c r="D20" i="5" l="1"/>
  <c r="D21" i="5" l="1"/>
  <c r="D22" i="5" l="1"/>
  <c r="D23" i="5" l="1"/>
  <c r="D24" i="5" l="1"/>
  <c r="D25" i="5" l="1"/>
  <c r="D26" i="5" l="1"/>
  <c r="D27" i="5" l="1"/>
  <c r="D28" i="5" l="1"/>
  <c r="D29" i="5" l="1"/>
  <c r="D30" i="5" l="1"/>
  <c r="D31" i="5" l="1"/>
  <c r="D32" i="5" l="1"/>
  <c r="D33" i="5" l="1"/>
  <c r="D34" i="5" l="1"/>
  <c r="D35" i="5" l="1"/>
  <c r="D36" i="5" l="1"/>
  <c r="D37" i="5" l="1"/>
  <c r="D38" i="5" l="1"/>
  <c r="D39" i="5" l="1"/>
  <c r="D40" i="5" l="1"/>
  <c r="D41" i="5" l="1"/>
  <c r="D42" i="5" l="1"/>
</calcChain>
</file>

<file path=xl/sharedStrings.xml><?xml version="1.0" encoding="utf-8"?>
<sst xmlns="http://schemas.openxmlformats.org/spreadsheetml/2006/main" count="44" uniqueCount="26">
  <si>
    <t>Year</t>
  </si>
  <si>
    <t>Timeline</t>
  </si>
  <si>
    <t>Forecast</t>
  </si>
  <si>
    <t>Contribution</t>
  </si>
  <si>
    <t>Performance</t>
  </si>
  <si>
    <t>Value</t>
  </si>
  <si>
    <t>Total</t>
  </si>
  <si>
    <t>Marginal Tax Rate</t>
  </si>
  <si>
    <t>City</t>
  </si>
  <si>
    <t>Canton</t>
  </si>
  <si>
    <t>Base Rate</t>
  </si>
  <si>
    <t>Federal</t>
  </si>
  <si>
    <t>Commune</t>
  </si>
  <si>
    <t>Actual</t>
  </si>
  <si>
    <t>Final Rate</t>
  </si>
  <si>
    <t>Level</t>
  </si>
  <si>
    <t>Capital Tax</t>
  </si>
  <si>
    <t>Lower Bound</t>
  </si>
  <si>
    <t>Upper Bound</t>
  </si>
  <si>
    <t>Example: marginal tax rate for taxable income of 70k</t>
  </si>
  <si>
    <t>Contribution Percentage</t>
  </si>
  <si>
    <t>Compounding Rate</t>
  </si>
  <si>
    <t>Rate</t>
  </si>
  <si>
    <t>Calculator</t>
  </si>
  <si>
    <t>Example: capital tax on 5 withdrawals of 160k</t>
  </si>
  <si>
    <t>Example: capital tax on 5 withdrawal of 56.5k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</si>
</sst>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9" fontId="0" fillId="0" borderId="0" xfId="0" applyNumberFormat="1"/>
    <xf numFmtId="9" fontId="0" fillId="0" borderId="0" xfId="2" applyNumberFormat="1" applyFont="1"/>
    <xf numFmtId="10" fontId="0" fillId="0" borderId="0" xfId="0" applyNumberFormat="1"/>
    <xf numFmtId="164" fontId="0" fillId="0" borderId="0" xfId="0" applyNumberFormat="1"/>
    <xf numFmtId="43" fontId="0" fillId="0" borderId="0" xfId="1" applyFont="1"/>
    <xf numFmtId="0" fontId="2" fillId="2" borderId="1" xfId="0" applyFont="1" applyFill="1" applyBorder="1"/>
    <xf numFmtId="164" fontId="0" fillId="3" borderId="2" xfId="2" applyNumberFormat="1" applyFont="1" applyFill="1" applyBorder="1"/>
    <xf numFmtId="9" fontId="0" fillId="3" borderId="2" xfId="2" applyNumberFormat="1" applyFont="1" applyFill="1" applyBorder="1"/>
    <xf numFmtId="43" fontId="0" fillId="0" borderId="0" xfId="0" applyNumberFormat="1"/>
    <xf numFmtId="0" fontId="3" fillId="0" borderId="0" xfId="3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3">
    <dxf>
      <numFmt numFmtId="14" formatCode="0.00%"/>
    </dxf>
    <dxf>
      <numFmt numFmtId="13" formatCode="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</dxf>
  </dxfs>
  <tableStyles count="0" defaultTableStyle="TableStyleMedium2" defaultPivotStyle="PivotStyleLight16"/>
  <colors>
    <mruColors>
      <color rgb="FF444444"/>
      <color rgb="FF1A9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'3A Contribution'!$B$1</c:f>
              <c:strCache>
                <c:ptCount val="1"/>
                <c:pt idx="0">
                  <c:v>Actual</c:v>
                </c:pt>
              </c:strCache>
            </c:strRef>
          </c:tx>
          <c:spPr>
            <a:ln w="25400" cap="rnd">
              <a:solidFill>
                <a:srgbClr val="1A95E0"/>
              </a:solidFill>
              <a:round/>
            </a:ln>
            <a:effectLst/>
          </c:spPr>
          <c:marker>
            <c:symbol val="none"/>
          </c:marker>
          <c:val>
            <c:numRef>
              <c:f>'3A Contribution'!$B$2:$B$71</c:f>
              <c:numCache>
                <c:formatCode>_(* #,##0.00_);_(* \(#,##0.00\);_(* "-"??_);_(@_)</c:formatCode>
                <c:ptCount val="70"/>
                <c:pt idx="0">
                  <c:v>4147</c:v>
                </c:pt>
                <c:pt idx="1">
                  <c:v>4320</c:v>
                </c:pt>
                <c:pt idx="2">
                  <c:v>4320</c:v>
                </c:pt>
                <c:pt idx="3">
                  <c:v>4608</c:v>
                </c:pt>
                <c:pt idx="4">
                  <c:v>4608</c:v>
                </c:pt>
                <c:pt idx="5">
                  <c:v>5184</c:v>
                </c:pt>
                <c:pt idx="6">
                  <c:v>5414</c:v>
                </c:pt>
                <c:pt idx="7">
                  <c:v>5414</c:v>
                </c:pt>
                <c:pt idx="8">
                  <c:v>5587</c:v>
                </c:pt>
                <c:pt idx="9">
                  <c:v>5587</c:v>
                </c:pt>
                <c:pt idx="10">
                  <c:v>5731</c:v>
                </c:pt>
                <c:pt idx="11">
                  <c:v>5731</c:v>
                </c:pt>
                <c:pt idx="12">
                  <c:v>5789</c:v>
                </c:pt>
                <c:pt idx="13">
                  <c:v>5789</c:v>
                </c:pt>
                <c:pt idx="14">
                  <c:v>5933</c:v>
                </c:pt>
                <c:pt idx="15">
                  <c:v>5933</c:v>
                </c:pt>
                <c:pt idx="16">
                  <c:v>6077</c:v>
                </c:pt>
                <c:pt idx="17">
                  <c:v>6077</c:v>
                </c:pt>
                <c:pt idx="18">
                  <c:v>6192</c:v>
                </c:pt>
                <c:pt idx="19">
                  <c:v>6192</c:v>
                </c:pt>
                <c:pt idx="20">
                  <c:v>6365</c:v>
                </c:pt>
                <c:pt idx="21">
                  <c:v>6365</c:v>
                </c:pt>
                <c:pt idx="22">
                  <c:v>6566</c:v>
                </c:pt>
                <c:pt idx="23">
                  <c:v>6566</c:v>
                </c:pt>
                <c:pt idx="24">
                  <c:v>6682</c:v>
                </c:pt>
                <c:pt idx="25">
                  <c:v>6682</c:v>
                </c:pt>
                <c:pt idx="26">
                  <c:v>6739</c:v>
                </c:pt>
                <c:pt idx="27">
                  <c:v>6739</c:v>
                </c:pt>
                <c:pt idx="28">
                  <c:v>6768</c:v>
                </c:pt>
                <c:pt idx="29">
                  <c:v>6768</c:v>
                </c:pt>
                <c:pt idx="30">
                  <c:v>6768</c:v>
                </c:pt>
                <c:pt idx="31">
                  <c:v>6768</c:v>
                </c:pt>
                <c:pt idx="32">
                  <c:v>6826</c:v>
                </c:pt>
                <c:pt idx="33">
                  <c:v>6826</c:v>
                </c:pt>
                <c:pt idx="34">
                  <c:v>6883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3-41CA-86C5-0997E31B0C9C}"/>
            </c:ext>
          </c:extLst>
        </c:ser>
        <c:ser>
          <c:idx val="1"/>
          <c:order val="1"/>
          <c:tx>
            <c:strRef>
              <c:f>'3A Contribution'!$C$1</c:f>
              <c:strCache>
                <c:ptCount val="1"/>
                <c:pt idx="0">
                  <c:v>Forecast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 Contribution'!$A$2:$A$71</c:f>
              <c:numCache>
                <c:formatCode>General</c:formatCode>
                <c:ptCount val="70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  <c:pt idx="43">
                  <c:v>2030</c:v>
                </c:pt>
                <c:pt idx="44">
                  <c:v>2031</c:v>
                </c:pt>
                <c:pt idx="45">
                  <c:v>2032</c:v>
                </c:pt>
                <c:pt idx="46">
                  <c:v>2033</c:v>
                </c:pt>
                <c:pt idx="47">
                  <c:v>2034</c:v>
                </c:pt>
                <c:pt idx="48">
                  <c:v>2035</c:v>
                </c:pt>
                <c:pt idx="49">
                  <c:v>2036</c:v>
                </c:pt>
                <c:pt idx="50">
                  <c:v>2037</c:v>
                </c:pt>
                <c:pt idx="51">
                  <c:v>2038</c:v>
                </c:pt>
                <c:pt idx="52">
                  <c:v>2039</c:v>
                </c:pt>
                <c:pt idx="53">
                  <c:v>2040</c:v>
                </c:pt>
                <c:pt idx="54">
                  <c:v>2041</c:v>
                </c:pt>
                <c:pt idx="55">
                  <c:v>2042</c:v>
                </c:pt>
                <c:pt idx="56">
                  <c:v>2043</c:v>
                </c:pt>
                <c:pt idx="57">
                  <c:v>2044</c:v>
                </c:pt>
                <c:pt idx="58">
                  <c:v>2045</c:v>
                </c:pt>
                <c:pt idx="59">
                  <c:v>2046</c:v>
                </c:pt>
                <c:pt idx="60">
                  <c:v>2047</c:v>
                </c:pt>
                <c:pt idx="61">
                  <c:v>2048</c:v>
                </c:pt>
                <c:pt idx="62">
                  <c:v>2049</c:v>
                </c:pt>
                <c:pt idx="63">
                  <c:v>2050</c:v>
                </c:pt>
                <c:pt idx="64">
                  <c:v>2051</c:v>
                </c:pt>
                <c:pt idx="65">
                  <c:v>2052</c:v>
                </c:pt>
                <c:pt idx="66">
                  <c:v>2053</c:v>
                </c:pt>
                <c:pt idx="67">
                  <c:v>2054</c:v>
                </c:pt>
                <c:pt idx="68">
                  <c:v>2055</c:v>
                </c:pt>
                <c:pt idx="69">
                  <c:v>2056</c:v>
                </c:pt>
              </c:numCache>
            </c:numRef>
          </c:cat>
          <c:val>
            <c:numRef>
              <c:f>'3A Contribution'!$C$2:$C$71</c:f>
              <c:numCache>
                <c:formatCode>_(* #,##0.00_);_(* \(#,##0.00\);_(* "-"??_);_(@_)</c:formatCode>
                <c:ptCount val="70"/>
                <c:pt idx="34">
                  <c:v>6883</c:v>
                </c:pt>
                <c:pt idx="35">
                  <c:v>6871.9749598462049</c:v>
                </c:pt>
                <c:pt idx="36">
                  <c:v>6889.2445736871887</c:v>
                </c:pt>
                <c:pt idx="37">
                  <c:v>6906.5141875281715</c:v>
                </c:pt>
                <c:pt idx="38">
                  <c:v>6923.7838013691544</c:v>
                </c:pt>
                <c:pt idx="39">
                  <c:v>6941.0534152101372</c:v>
                </c:pt>
                <c:pt idx="40">
                  <c:v>6958.323029051121</c:v>
                </c:pt>
                <c:pt idx="41">
                  <c:v>6975.5926428921039</c:v>
                </c:pt>
                <c:pt idx="42">
                  <c:v>6992.8622567330867</c:v>
                </c:pt>
                <c:pt idx="43">
                  <c:v>7010.1318705740705</c:v>
                </c:pt>
                <c:pt idx="44">
                  <c:v>7027.4014844150533</c:v>
                </c:pt>
                <c:pt idx="45">
                  <c:v>7044.6710982560362</c:v>
                </c:pt>
                <c:pt idx="46">
                  <c:v>7061.9407120970191</c:v>
                </c:pt>
                <c:pt idx="47">
                  <c:v>7079.2103259380028</c:v>
                </c:pt>
                <c:pt idx="48">
                  <c:v>7096.4799397789857</c:v>
                </c:pt>
                <c:pt idx="49">
                  <c:v>7113.7495536199685</c:v>
                </c:pt>
                <c:pt idx="50">
                  <c:v>7131.0191674609514</c:v>
                </c:pt>
                <c:pt idx="51">
                  <c:v>7148.2887813019352</c:v>
                </c:pt>
                <c:pt idx="52">
                  <c:v>7165.558395142918</c:v>
                </c:pt>
                <c:pt idx="53">
                  <c:v>7182.8280089839009</c:v>
                </c:pt>
                <c:pt idx="54">
                  <c:v>7200.0976228248846</c:v>
                </c:pt>
                <c:pt idx="55">
                  <c:v>7217.3672366658675</c:v>
                </c:pt>
                <c:pt idx="56">
                  <c:v>7234.6368505068504</c:v>
                </c:pt>
                <c:pt idx="57">
                  <c:v>7251.9064643478332</c:v>
                </c:pt>
                <c:pt idx="58">
                  <c:v>7269.176078188817</c:v>
                </c:pt>
                <c:pt idx="59">
                  <c:v>7286.4456920297998</c:v>
                </c:pt>
                <c:pt idx="60">
                  <c:v>7303.7153058707827</c:v>
                </c:pt>
                <c:pt idx="61">
                  <c:v>7320.9849197117655</c:v>
                </c:pt>
                <c:pt idx="62">
                  <c:v>7338.2545335527493</c:v>
                </c:pt>
                <c:pt idx="63">
                  <c:v>7355.5241473937322</c:v>
                </c:pt>
                <c:pt idx="64">
                  <c:v>7372.793761234715</c:v>
                </c:pt>
                <c:pt idx="65">
                  <c:v>7390.0633750756988</c:v>
                </c:pt>
                <c:pt idx="66">
                  <c:v>7407.3329889166816</c:v>
                </c:pt>
                <c:pt idx="67">
                  <c:v>7424.6026027576645</c:v>
                </c:pt>
                <c:pt idx="68">
                  <c:v>7441.8722165986474</c:v>
                </c:pt>
                <c:pt idx="69">
                  <c:v>7459.1418304396311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3-41CA-86C5-0997E31B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321824"/>
        <c:axId val="408322240"/>
      </c:lineChart>
      <c:catAx>
        <c:axId val="40832182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noFill/>
          <a:ln w="12700" cap="flat" cmpd="sng" algn="ctr">
            <a:solidFill>
              <a:srgbClr val="44444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22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32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18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4444"/>
              </a:solidFill>
              <a:latin typeface="Roboto Mono" panose="00000009000000000000" pitchFamily="49" charset="0"/>
              <a:ea typeface="Roboto Mono" panose="00000009000000000000" pitchFamily="49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444444"/>
          </a:solidFill>
          <a:latin typeface="Roboto Mono" panose="00000009000000000000" pitchFamily="49" charset="0"/>
          <a:ea typeface="Roboto Mono" panose="00000009000000000000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Brokerage</c:v>
          </c:tx>
          <c:spPr>
            <a:ln w="25400" cap="rnd">
              <a:solidFill>
                <a:srgbClr val="1A95E0"/>
              </a:solidFill>
              <a:round/>
            </a:ln>
            <a:effectLst/>
          </c:spPr>
          <c:marker>
            <c:symbol val="none"/>
          </c:marker>
          <c:cat>
            <c:numRef>
              <c:f>Brokerage!$A$5:$A$42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Brokerage!$D$5:$D$42</c:f>
              <c:numCache>
                <c:formatCode>_(* #,##0.00_);_(* \(#,##0.00\);_(* "-"??_);_(@_)</c:formatCode>
                <c:ptCount val="38"/>
                <c:pt idx="0">
                  <c:v>7167.3</c:v>
                </c:pt>
                <c:pt idx="1">
                  <c:v>14692.965</c:v>
                </c:pt>
                <c:pt idx="2">
                  <c:v>22654.76325</c:v>
                </c:pt>
                <c:pt idx="3">
                  <c:v>31003.1014125</c:v>
                </c:pt>
                <c:pt idx="4">
                  <c:v>39786.706483125003</c:v>
                </c:pt>
                <c:pt idx="5">
                  <c:v>49028.391807281252</c:v>
                </c:pt>
                <c:pt idx="6">
                  <c:v>58750.011397645314</c:v>
                </c:pt>
                <c:pt idx="7">
                  <c:v>68975.561967527581</c:v>
                </c:pt>
                <c:pt idx="8">
                  <c:v>79730.24006590397</c:v>
                </c:pt>
                <c:pt idx="9">
                  <c:v>91041.55206919917</c:v>
                </c:pt>
                <c:pt idx="10">
                  <c:v>102936.27967265913</c:v>
                </c:pt>
                <c:pt idx="11">
                  <c:v>115443.5936562921</c:v>
                </c:pt>
                <c:pt idx="12">
                  <c:v>128594.12333910671</c:v>
                </c:pt>
                <c:pt idx="13">
                  <c:v>142421.07950606206</c:v>
                </c:pt>
                <c:pt idx="14">
                  <c:v>156957.23348136517</c:v>
                </c:pt>
                <c:pt idx="15">
                  <c:v>172238.04515543344</c:v>
                </c:pt>
                <c:pt idx="16">
                  <c:v>188300.74741320513</c:v>
                </c:pt>
                <c:pt idx="17">
                  <c:v>205185.4847838654</c:v>
                </c:pt>
                <c:pt idx="18">
                  <c:v>222932.30902305868</c:v>
                </c:pt>
                <c:pt idx="19">
                  <c:v>241584.32447421164</c:v>
                </c:pt>
                <c:pt idx="20">
                  <c:v>261187.84069792222</c:v>
                </c:pt>
                <c:pt idx="21">
                  <c:v>281789.38273281837</c:v>
                </c:pt>
                <c:pt idx="22">
                  <c:v>303438.85186945932</c:v>
                </c:pt>
                <c:pt idx="23">
                  <c:v>326188.64446293231</c:v>
                </c:pt>
                <c:pt idx="24">
                  <c:v>350094.82668607892</c:v>
                </c:pt>
                <c:pt idx="25">
                  <c:v>375214.16802038287</c:v>
                </c:pt>
                <c:pt idx="26">
                  <c:v>401607.32642140205</c:v>
                </c:pt>
                <c:pt idx="27">
                  <c:v>429337.99274247215</c:v>
                </c:pt>
                <c:pt idx="28">
                  <c:v>458474.09237959579</c:v>
                </c:pt>
                <c:pt idx="29">
                  <c:v>489084.84699857561</c:v>
                </c:pt>
                <c:pt idx="30">
                  <c:v>521243.9893485044</c:v>
                </c:pt>
                <c:pt idx="31">
                  <c:v>555029.98881592974</c:v>
                </c:pt>
                <c:pt idx="32">
                  <c:v>590523.1382567262</c:v>
                </c:pt>
                <c:pt idx="33">
                  <c:v>627808.79516956257</c:v>
                </c:pt>
                <c:pt idx="34">
                  <c:v>666976.58492804074</c:v>
                </c:pt>
                <c:pt idx="35">
                  <c:v>708121.66417444276</c:v>
                </c:pt>
                <c:pt idx="36">
                  <c:v>751341.84738316492</c:v>
                </c:pt>
                <c:pt idx="37">
                  <c:v>796740.88975232316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3-41CA-86C5-0997E31B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321824"/>
        <c:axId val="408322240"/>
      </c:lineChart>
      <c:catAx>
        <c:axId val="4083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44444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22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322240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1824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4444"/>
              </a:solidFill>
              <a:latin typeface="Roboto Mono" panose="00000009000000000000" pitchFamily="49" charset="0"/>
              <a:ea typeface="Roboto Mono" panose="00000009000000000000" pitchFamily="49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444444"/>
          </a:solidFill>
          <a:latin typeface="Roboto Mono" panose="00000009000000000000" pitchFamily="49" charset="0"/>
          <a:ea typeface="Roboto Mono" panose="00000009000000000000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Savings</c:v>
          </c:tx>
          <c:spPr>
            <a:ln w="25400" cap="rnd">
              <a:solidFill>
                <a:srgbClr val="1A95E0"/>
              </a:solidFill>
              <a:round/>
            </a:ln>
            <a:effectLst/>
          </c:spPr>
          <c:marker>
            <c:symbol val="none"/>
          </c:marker>
          <c:cat>
            <c:numRef>
              <c:f>Savings!$A$5:$A$42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Savings!$D$5:$D$42</c:f>
              <c:numCache>
                <c:formatCode>_(* #,##0.00_);_(* \(#,##0.00\);_(* "-"??_);_(@_)</c:formatCode>
                <c:ptCount val="38"/>
                <c:pt idx="0">
                  <c:v>6839.652</c:v>
                </c:pt>
                <c:pt idx="1">
                  <c:v>13692.983303999999</c:v>
                </c:pt>
                <c:pt idx="2">
                  <c:v>20617.135270608</c:v>
                </c:pt>
                <c:pt idx="3">
                  <c:v>27544.113541149214</c:v>
                </c:pt>
                <c:pt idx="4">
                  <c:v>34501.979768231511</c:v>
                </c:pt>
                <c:pt idx="5">
                  <c:v>41491.797727767975</c:v>
                </c:pt>
                <c:pt idx="6">
                  <c:v>48512.629323223511</c:v>
                </c:pt>
                <c:pt idx="7">
                  <c:v>55564.536581869957</c:v>
                </c:pt>
                <c:pt idx="8">
                  <c:v>62647.581655033697</c:v>
                </c:pt>
                <c:pt idx="9">
                  <c:v>69762.828818343754</c:v>
                </c:pt>
                <c:pt idx="10">
                  <c:v>76909.34047598044</c:v>
                </c:pt>
                <c:pt idx="11">
                  <c:v>84087.179156932398</c:v>
                </c:pt>
                <c:pt idx="12">
                  <c:v>91296.407515246261</c:v>
                </c:pt>
                <c:pt idx="13">
                  <c:v>98538.090330276755</c:v>
                </c:pt>
                <c:pt idx="14">
                  <c:v>105811.29051093731</c:v>
                </c:pt>
                <c:pt idx="15">
                  <c:v>113116.07109195918</c:v>
                </c:pt>
                <c:pt idx="16">
                  <c:v>120452.49523414311</c:v>
                </c:pt>
                <c:pt idx="17">
                  <c:v>127821.6282246114</c:v>
                </c:pt>
                <c:pt idx="18">
                  <c:v>135222.53348106061</c:v>
                </c:pt>
                <c:pt idx="19">
                  <c:v>142655.27454802275</c:v>
                </c:pt>
                <c:pt idx="20">
                  <c:v>150120.9170971188</c:v>
                </c:pt>
                <c:pt idx="21">
                  <c:v>157618.52493131303</c:v>
                </c:pt>
                <c:pt idx="22">
                  <c:v>165148.16198117565</c:v>
                </c:pt>
                <c:pt idx="23">
                  <c:v>172709.892305138</c:v>
                </c:pt>
                <c:pt idx="24">
                  <c:v>180304.78208974827</c:v>
                </c:pt>
                <c:pt idx="25">
                  <c:v>187931.89565392776</c:v>
                </c:pt>
                <c:pt idx="26">
                  <c:v>195591.2974452356</c:v>
                </c:pt>
                <c:pt idx="27">
                  <c:v>203283.05204012606</c:v>
                </c:pt>
                <c:pt idx="28">
                  <c:v>211008.2261442063</c:v>
                </c:pt>
                <c:pt idx="29">
                  <c:v>218765.88459649472</c:v>
                </c:pt>
                <c:pt idx="30">
                  <c:v>226556.09236568771</c:v>
                </c:pt>
                <c:pt idx="31">
                  <c:v>234379.91655041909</c:v>
                </c:pt>
                <c:pt idx="32">
                  <c:v>242236.42238351994</c:v>
                </c:pt>
                <c:pt idx="33">
                  <c:v>250125.67522828697</c:v>
                </c:pt>
                <c:pt idx="34">
                  <c:v>258047.74057874354</c:v>
                </c:pt>
                <c:pt idx="35">
                  <c:v>266003.68605990103</c:v>
                </c:pt>
                <c:pt idx="36">
                  <c:v>273992.5774320208</c:v>
                </c:pt>
                <c:pt idx="37">
                  <c:v>282014.48058688483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3-41CA-86C5-0997E31B0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321824"/>
        <c:axId val="408322240"/>
      </c:lineChart>
      <c:catAx>
        <c:axId val="4083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44444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22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322240"/>
        <c:scaling>
          <c:orientation val="minMax"/>
          <c:max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4444"/>
                </a:solidFill>
                <a:latin typeface="Roboto Mono" panose="00000009000000000000" pitchFamily="49" charset="0"/>
                <a:ea typeface="Roboto Mono" panose="00000009000000000000" pitchFamily="49" charset="0"/>
                <a:cs typeface="+mn-cs"/>
              </a:defRPr>
            </a:pPr>
            <a:endParaRPr lang="en-US"/>
          </a:p>
        </c:txPr>
        <c:crossAx val="408321824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4444"/>
              </a:solidFill>
              <a:latin typeface="Roboto Mono" panose="00000009000000000000" pitchFamily="49" charset="0"/>
              <a:ea typeface="Roboto Mono" panose="00000009000000000000" pitchFamily="49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444444"/>
          </a:solidFill>
          <a:latin typeface="Roboto Mono" panose="00000009000000000000" pitchFamily="49" charset="0"/>
          <a:ea typeface="Roboto Mono" panose="00000009000000000000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645318</xdr:colOff>
      <xdr:row>1</xdr:row>
      <xdr:rowOff>11906</xdr:rowOff>
    </xdr:from>
    <xdr:to>
      <xdr:col>13</xdr:col>
      <xdr:colOff>216018</xdr:colOff>
      <xdr:row>18</xdr:row>
      <xdr:rowOff>175331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3112E-7570-4F85-81BF-BF7727E72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</xdr:colOff>
      <xdr:row>0</xdr:row>
      <xdr:rowOff>169069</xdr:rowOff>
    </xdr:from>
    <xdr:to>
      <xdr:col>10</xdr:col>
      <xdr:colOff>516056</xdr:colOff>
      <xdr:row>18</xdr:row>
      <xdr:rowOff>151519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E1C38-4BBE-450D-8E87-9A5DD3D21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</xdr:colOff>
      <xdr:row>0</xdr:row>
      <xdr:rowOff>178594</xdr:rowOff>
    </xdr:from>
    <xdr:to>
      <xdr:col>10</xdr:col>
      <xdr:colOff>520818</xdr:colOff>
      <xdr:row>18</xdr:row>
      <xdr:rowOff>161044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A8346E-946D-4345-A34F-286C10686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C91DE9-5A6F-49B2-A91D-235DE9733EEF}" name="Table1" displayName="Table1" ref="A1:D71" totalsRowShown="0">
  <autoFilter ref="A1:D71" xr:uid="{2E37120C-DC62-483B-8799-54A31DC613C0}"/>
  <tableColumns count="4">
    <tableColumn id="1" xr3:uid="{C9C84FB6-DE75-42FF-8B24-ADA3B5779719}" name="Timeline"/>
    <tableColumn id="2" xr3:uid="{0E5B31ED-7E98-4BF4-A286-A67F5F537172}" name="Actual" dataCellStyle="Comma"/>
    <tableColumn id="3" xr3:uid="{A49C4A5E-2DDC-4E18-97B0-7F4C698B025D}" name="Forecast" dataCellStyle="Comma">
      <calculatedColumnFormula>_xlfn.FORECAST.ETS(A2,$B$2:$B$36,$A$2:$A$36,1,1)</calculatedColumnFormula>
    </tableColumn>
    <tableColumn id="4" xr3:uid="{3E7D20A3-1B34-4E5B-B85F-ED46D168FD94}" name="Contribution" dataDxfId="12" dataCellStyle="Comma">
      <calculatedColumnFormula>IF(ISBLANK(Table1[[#This Row],[Forecast]]),Table1[[#This Row],[Actual]],ROUND(Table1[[#This Row],[Forecast]],0))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5EBACC-1C0A-4E1C-B6D5-A683CE902186}" name="Table5" displayName="Table5" ref="A4:D42" totalsRowShown="0">
  <autoFilter ref="A4:D42" xr:uid="{E868C078-B4A3-4C13-AE4E-5EDB7E5ED2A9}"/>
  <tableColumns count="4">
    <tableColumn id="1" xr3:uid="{F654ECA8-542A-473E-91B3-85465D64F654}" name="Year"/>
    <tableColumn id="2" xr3:uid="{46FA31AD-7AC7-45B0-A7ED-32D2277A49A3}" name="Contribution" dataDxfId="11" dataCellStyle="Comma">
      <calculatedColumnFormula>VLOOKUP(Table5[[#This Row],[Year]],Table1[],4,FALSE)*$C$1</calculatedColumnFormula>
    </tableColumn>
    <tableColumn id="3" xr3:uid="{F73E2A71-C4B1-41A2-B0CC-956540B27F43}" name="Performance" dataDxfId="10">
      <calculatedColumnFormula>$C$2</calculatedColumnFormula>
    </tableColumn>
    <tableColumn id="4" xr3:uid="{32DA5F19-F393-4DCA-86C6-85D4263957BE}" name="Value" dataDxfId="9" dataCellStyle="Comma">
      <calculatedColumnFormula>(D4+B5)*(1+C5)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DD9CFFC-61EE-42FE-9F41-E303FF56027E}" name="Table7" displayName="Table7" ref="F22:G26" totalsRowCount="1">
  <autoFilter ref="F22:G25" xr:uid="{7F6AE163-4E9C-4D8D-BBAF-AF1C8FE6D87A}"/>
  <tableColumns count="2">
    <tableColumn id="1" xr3:uid="{AC0EF68C-0E2C-42DA-8C80-BC80CA6791AE}" name="Level" totalsRowLabel="Total"/>
    <tableColumn id="2" xr3:uid="{0A1D7B4F-79C4-46CF-B32E-1F6AD5E05DD4}" name="Capital Tax" totalsRowFunction="sum" totalsRowDxfId="8" dataCellStyle="Comma" totalsRowCellStyle="Comma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0C9729-833D-44EB-93AF-1471334A2DDD}" name="Table6" displayName="Table6" ref="A4:D42" totalsRowShown="0">
  <autoFilter ref="A4:D42" xr:uid="{E66AE802-1C2D-4ACD-9844-D88D69661471}"/>
  <tableColumns count="4">
    <tableColumn id="1" xr3:uid="{72A4E4E3-DAF4-44F9-AC39-28A3AD77FCE0}" name="Year"/>
    <tableColumn id="2" xr3:uid="{11D06A15-39EB-472C-BE22-3158D258BF5E}" name="Contribution" dataDxfId="7" dataCellStyle="Comma">
      <calculatedColumnFormula>VLOOKUP(Table6[[#This Row],[Year]],Table1[],4,FALSE)*$C$1</calculatedColumnFormula>
    </tableColumn>
    <tableColumn id="3" xr3:uid="{6014FE74-7D5D-441F-907F-E74B29F92539}" name="Rate" dataDxfId="6">
      <calculatedColumnFormula>$C$2</calculatedColumnFormula>
    </tableColumn>
    <tableColumn id="4" xr3:uid="{2999B817-9A83-4C67-A509-42E535A729FC}" name="Value" dataDxfId="5" dataCellStyle="Comma">
      <calculatedColumnFormula>(D4+B5)*(1+C5)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E7FB295-7536-4C7F-8A46-C10706D4CEED}" name="Table8" displayName="Table8" ref="F22:G26" totalsRowCount="1">
  <autoFilter ref="F22:G25" xr:uid="{21E2330B-7DAB-4A9C-89AD-8209F861C8E5}"/>
  <tableColumns count="2">
    <tableColumn id="1" xr3:uid="{CDED6FB1-26B9-4F84-B0F3-D5326D61437D}" name="Level" totalsRowLabel="Total"/>
    <tableColumn id="2" xr3:uid="{29A13DC2-762C-41E5-8CF7-4A7823CB6986}" name="Capital Tax" totalsRowFunction="sum" totalsRowDxfId="4" dataCellStyle="Comma" totalsRowCellStyle="Comma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2027C2-1F9C-48D5-B695-42BCD433749B}" name="Table2" displayName="Table2" ref="A1:C11" totalsRowShown="0">
  <tableColumns count="3">
    <tableColumn id="1" xr3:uid="{6FEA972F-FB30-4F03-904E-2139367C5EF9}" name="Marginal Tax Rate" dataDxfId="3" dataCellStyle="Percent"/>
    <tableColumn id="2" xr3:uid="{64663659-1706-41E3-BF0B-2F0BCA380969}" name="Lower Bound"/>
    <tableColumn id="3" xr3:uid="{7BAC4513-9195-4A4E-B810-7D00D7305F1F}" name="Upper Boun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156C9E-B5B4-4FB1-93ED-38EF2FE4A123}" name="Table3" displayName="Table3" ref="A14:D18" totalsRowCount="1">
  <autoFilter ref="A14:D17" xr:uid="{FEB5A26D-C7A5-431F-A8C6-5BB220EEEB8E}"/>
  <tableColumns count="4">
    <tableColumn id="1" xr3:uid="{015803BB-B5EA-4CBC-AF5C-72803172E994}" name="Level" totalsRowLabel="Total"/>
    <tableColumn id="2" xr3:uid="{44E364CF-F879-4A57-B2D8-47524E7490F4}" name="Marginal Tax Rate" dataDxfId="2"/>
    <tableColumn id="3" xr3:uid="{42427AF4-60C1-49FD-9785-4F0BA9C0552E}" name="Base Rate" dataDxfId="1"/>
    <tableColumn id="4" xr3:uid="{FB9482D5-99D7-4952-8F61-A7C2991F4654}" name="Final Rate" totalsRowFunction="sum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swisstaxcalculator.estv.admin.ch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hyperlink" Target="https://swisstaxcalculator.estv.admin.ch/" TargetMode="Externa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7749-EEB3-461F-B9C0-57681525C623}">
  <dimension ref="A1:D71"/>
  <sheetViews>
    <sheetView workbookViewId="0">
      <selection activeCell="H24" sqref="H24"/>
    </sheetView>
  </sheetViews>
  <sheetFormatPr defaultRowHeight="14.25" x14ac:dyDescent="0.45"/>
  <cols>
    <col min="1" max="1" width="9.59765625" customWidth="1"/>
    <col min="3" max="3" width="9.3984375" customWidth="1"/>
    <col min="4" max="4" width="13.265625" style="1" bestFit="1" customWidth="1"/>
  </cols>
  <sheetData>
    <row r="1" spans="1:4" x14ac:dyDescent="0.45">
      <c r="A1" t="s">
        <v>1</v>
      </c>
      <c r="B1" t="s">
        <v>13</v>
      </c>
      <c r="C1" t="s">
        <v>2</v>
      </c>
      <c r="D1" s="1" t="s">
        <v>3</v>
      </c>
    </row>
    <row r="2" spans="1:4" x14ac:dyDescent="0.45">
      <c r="A2" s="1">
        <v>1987</v>
      </c>
      <c r="B2" s="6">
        <v>4147</v>
      </c>
      <c r="C2" s="6"/>
      <c r="D2" s="6">
        <f>IF(ISBLANK(Table1[[#This Row],[Forecast]]),Table1[[#This Row],[Actual]],ROUND(Table1[[#This Row],[Forecast]],0))</f>
        <v>4147</v>
      </c>
    </row>
    <row r="3" spans="1:4" x14ac:dyDescent="0.45">
      <c r="A3" s="1">
        <v>1988</v>
      </c>
      <c r="B3" s="6">
        <v>4320</v>
      </c>
      <c r="C3" s="6"/>
      <c r="D3" s="6">
        <f>IF(ISBLANK(Table1[[#This Row],[Forecast]]),Table1[[#This Row],[Actual]],ROUND(Table1[[#This Row],[Forecast]],0))</f>
        <v>4320</v>
      </c>
    </row>
    <row r="4" spans="1:4" x14ac:dyDescent="0.45">
      <c r="A4" s="1">
        <v>1989</v>
      </c>
      <c r="B4" s="6">
        <v>4320</v>
      </c>
      <c r="C4" s="6"/>
      <c r="D4" s="6">
        <f>IF(ISBLANK(Table1[[#This Row],[Forecast]]),Table1[[#This Row],[Actual]],ROUND(Table1[[#This Row],[Forecast]],0))</f>
        <v>4320</v>
      </c>
    </row>
    <row r="5" spans="1:4" x14ac:dyDescent="0.45">
      <c r="A5" s="1">
        <v>1990</v>
      </c>
      <c r="B5" s="6">
        <v>4608</v>
      </c>
      <c r="C5" s="6"/>
      <c r="D5" s="6">
        <f>IF(ISBLANK(Table1[[#This Row],[Forecast]]),Table1[[#This Row],[Actual]],ROUND(Table1[[#This Row],[Forecast]],0))</f>
        <v>4608</v>
      </c>
    </row>
    <row r="6" spans="1:4" x14ac:dyDescent="0.45">
      <c r="A6" s="1">
        <v>1991</v>
      </c>
      <c r="B6" s="6">
        <v>4608</v>
      </c>
      <c r="C6" s="6"/>
      <c r="D6" s="6">
        <f>IF(ISBLANK(Table1[[#This Row],[Forecast]]),Table1[[#This Row],[Actual]],ROUND(Table1[[#This Row],[Forecast]],0))</f>
        <v>4608</v>
      </c>
    </row>
    <row r="7" spans="1:4" x14ac:dyDescent="0.45">
      <c r="A7" s="1">
        <v>1992</v>
      </c>
      <c r="B7" s="6">
        <v>5184</v>
      </c>
      <c r="C7" s="6"/>
      <c r="D7" s="6">
        <f>IF(ISBLANK(Table1[[#This Row],[Forecast]]),Table1[[#This Row],[Actual]],ROUND(Table1[[#This Row],[Forecast]],0))</f>
        <v>5184</v>
      </c>
    </row>
    <row r="8" spans="1:4" x14ac:dyDescent="0.45">
      <c r="A8" s="1">
        <v>1993</v>
      </c>
      <c r="B8" s="6">
        <v>5414</v>
      </c>
      <c r="C8" s="6"/>
      <c r="D8" s="6">
        <f>IF(ISBLANK(Table1[[#This Row],[Forecast]]),Table1[[#This Row],[Actual]],ROUND(Table1[[#This Row],[Forecast]],0))</f>
        <v>5414</v>
      </c>
    </row>
    <row r="9" spans="1:4" x14ac:dyDescent="0.45">
      <c r="A9" s="1">
        <v>1994</v>
      </c>
      <c r="B9" s="6">
        <v>5414</v>
      </c>
      <c r="C9" s="6"/>
      <c r="D9" s="6">
        <f>IF(ISBLANK(Table1[[#This Row],[Forecast]]),Table1[[#This Row],[Actual]],ROUND(Table1[[#This Row],[Forecast]],0))</f>
        <v>5414</v>
      </c>
    </row>
    <row r="10" spans="1:4" x14ac:dyDescent="0.45">
      <c r="A10" s="1">
        <v>1995</v>
      </c>
      <c r="B10" s="6">
        <v>5587</v>
      </c>
      <c r="C10" s="6"/>
      <c r="D10" s="6">
        <f>IF(ISBLANK(Table1[[#This Row],[Forecast]]),Table1[[#This Row],[Actual]],ROUND(Table1[[#This Row],[Forecast]],0))</f>
        <v>5587</v>
      </c>
    </row>
    <row r="11" spans="1:4" x14ac:dyDescent="0.45">
      <c r="A11" s="1">
        <v>1996</v>
      </c>
      <c r="B11" s="6">
        <v>5587</v>
      </c>
      <c r="C11" s="6"/>
      <c r="D11" s="6">
        <f>IF(ISBLANK(Table1[[#This Row],[Forecast]]),Table1[[#This Row],[Actual]],ROUND(Table1[[#This Row],[Forecast]],0))</f>
        <v>5587</v>
      </c>
    </row>
    <row r="12" spans="1:4" x14ac:dyDescent="0.45">
      <c r="A12" s="1">
        <v>1997</v>
      </c>
      <c r="B12" s="6">
        <v>5731</v>
      </c>
      <c r="C12" s="6"/>
      <c r="D12" s="6">
        <f>IF(ISBLANK(Table1[[#This Row],[Forecast]]),Table1[[#This Row],[Actual]],ROUND(Table1[[#This Row],[Forecast]],0))</f>
        <v>5731</v>
      </c>
    </row>
    <row r="13" spans="1:4" x14ac:dyDescent="0.45">
      <c r="A13" s="1">
        <v>1998</v>
      </c>
      <c r="B13" s="6">
        <v>5731</v>
      </c>
      <c r="C13" s="6"/>
      <c r="D13" s="6">
        <f>IF(ISBLANK(Table1[[#This Row],[Forecast]]),Table1[[#This Row],[Actual]],ROUND(Table1[[#This Row],[Forecast]],0))</f>
        <v>5731</v>
      </c>
    </row>
    <row r="14" spans="1:4" x14ac:dyDescent="0.45">
      <c r="A14" s="1">
        <v>1999</v>
      </c>
      <c r="B14" s="6">
        <v>5789</v>
      </c>
      <c r="C14" s="6"/>
      <c r="D14" s="6">
        <f>IF(ISBLANK(Table1[[#This Row],[Forecast]]),Table1[[#This Row],[Actual]],ROUND(Table1[[#This Row],[Forecast]],0))</f>
        <v>5789</v>
      </c>
    </row>
    <row r="15" spans="1:4" x14ac:dyDescent="0.45">
      <c r="A15" s="1">
        <v>2000</v>
      </c>
      <c r="B15" s="6">
        <v>5789</v>
      </c>
      <c r="C15" s="6"/>
      <c r="D15" s="6">
        <f>IF(ISBLANK(Table1[[#This Row],[Forecast]]),Table1[[#This Row],[Actual]],ROUND(Table1[[#This Row],[Forecast]],0))</f>
        <v>5789</v>
      </c>
    </row>
    <row r="16" spans="1:4" x14ac:dyDescent="0.45">
      <c r="A16" s="1">
        <v>2001</v>
      </c>
      <c r="B16" s="6">
        <v>5933</v>
      </c>
      <c r="C16" s="6"/>
      <c r="D16" s="6">
        <f>IF(ISBLANK(Table1[[#This Row],[Forecast]]),Table1[[#This Row],[Actual]],ROUND(Table1[[#This Row],[Forecast]],0))</f>
        <v>5933</v>
      </c>
    </row>
    <row r="17" spans="1:4" x14ac:dyDescent="0.45">
      <c r="A17" s="1">
        <v>2002</v>
      </c>
      <c r="B17" s="6">
        <v>5933</v>
      </c>
      <c r="C17" s="6"/>
      <c r="D17" s="6">
        <f>IF(ISBLANK(Table1[[#This Row],[Forecast]]),Table1[[#This Row],[Actual]],ROUND(Table1[[#This Row],[Forecast]],0))</f>
        <v>5933</v>
      </c>
    </row>
    <row r="18" spans="1:4" x14ac:dyDescent="0.45">
      <c r="A18" s="1">
        <v>2003</v>
      </c>
      <c r="B18" s="6">
        <v>6077</v>
      </c>
      <c r="C18" s="6"/>
      <c r="D18" s="6">
        <f>IF(ISBLANK(Table1[[#This Row],[Forecast]]),Table1[[#This Row],[Actual]],ROUND(Table1[[#This Row],[Forecast]],0))</f>
        <v>6077</v>
      </c>
    </row>
    <row r="19" spans="1:4" x14ac:dyDescent="0.45">
      <c r="A19" s="1">
        <v>2004</v>
      </c>
      <c r="B19" s="6">
        <v>6077</v>
      </c>
      <c r="C19" s="6"/>
      <c r="D19" s="6">
        <f>IF(ISBLANK(Table1[[#This Row],[Forecast]]),Table1[[#This Row],[Actual]],ROUND(Table1[[#This Row],[Forecast]],0))</f>
        <v>6077</v>
      </c>
    </row>
    <row r="20" spans="1:4" x14ac:dyDescent="0.45">
      <c r="A20" s="1">
        <v>2005</v>
      </c>
      <c r="B20" s="6">
        <v>6192</v>
      </c>
      <c r="C20" s="6"/>
      <c r="D20" s="6">
        <f>IF(ISBLANK(Table1[[#This Row],[Forecast]]),Table1[[#This Row],[Actual]],ROUND(Table1[[#This Row],[Forecast]],0))</f>
        <v>6192</v>
      </c>
    </row>
    <row r="21" spans="1:4" x14ac:dyDescent="0.45">
      <c r="A21" s="1">
        <v>2006</v>
      </c>
      <c r="B21" s="6">
        <v>6192</v>
      </c>
      <c r="C21" s="6"/>
      <c r="D21" s="6">
        <f>IF(ISBLANK(Table1[[#This Row],[Forecast]]),Table1[[#This Row],[Actual]],ROUND(Table1[[#This Row],[Forecast]],0))</f>
        <v>6192</v>
      </c>
    </row>
    <row r="22" spans="1:4" x14ac:dyDescent="0.45">
      <c r="A22" s="1">
        <v>2007</v>
      </c>
      <c r="B22" s="6">
        <v>6365</v>
      </c>
      <c r="C22" s="6"/>
      <c r="D22" s="6">
        <f>IF(ISBLANK(Table1[[#This Row],[Forecast]]),Table1[[#This Row],[Actual]],ROUND(Table1[[#This Row],[Forecast]],0))</f>
        <v>6365</v>
      </c>
    </row>
    <row r="23" spans="1:4" x14ac:dyDescent="0.45">
      <c r="A23" s="1">
        <v>2008</v>
      </c>
      <c r="B23" s="6">
        <v>6365</v>
      </c>
      <c r="C23" s="6"/>
      <c r="D23" s="6">
        <f>IF(ISBLANK(Table1[[#This Row],[Forecast]]),Table1[[#This Row],[Actual]],ROUND(Table1[[#This Row],[Forecast]],0))</f>
        <v>6365</v>
      </c>
    </row>
    <row r="24" spans="1:4" x14ac:dyDescent="0.45">
      <c r="A24" s="1">
        <v>2009</v>
      </c>
      <c r="B24" s="6">
        <v>6566</v>
      </c>
      <c r="C24" s="6"/>
      <c r="D24" s="6">
        <f>IF(ISBLANK(Table1[[#This Row],[Forecast]]),Table1[[#This Row],[Actual]],ROUND(Table1[[#This Row],[Forecast]],0))</f>
        <v>6566</v>
      </c>
    </row>
    <row r="25" spans="1:4" x14ac:dyDescent="0.45">
      <c r="A25" s="1">
        <v>2010</v>
      </c>
      <c r="B25" s="6">
        <v>6566</v>
      </c>
      <c r="C25" s="6"/>
      <c r="D25" s="6">
        <f>IF(ISBLANK(Table1[[#This Row],[Forecast]]),Table1[[#This Row],[Actual]],ROUND(Table1[[#This Row],[Forecast]],0))</f>
        <v>6566</v>
      </c>
    </row>
    <row r="26" spans="1:4" x14ac:dyDescent="0.45">
      <c r="A26" s="1">
        <v>2011</v>
      </c>
      <c r="B26" s="6">
        <v>6682</v>
      </c>
      <c r="C26" s="6"/>
      <c r="D26" s="6">
        <f>IF(ISBLANK(Table1[[#This Row],[Forecast]]),Table1[[#This Row],[Actual]],ROUND(Table1[[#This Row],[Forecast]],0))</f>
        <v>6682</v>
      </c>
    </row>
    <row r="27" spans="1:4" x14ac:dyDescent="0.45">
      <c r="A27" s="1">
        <v>2012</v>
      </c>
      <c r="B27" s="6">
        <v>6682</v>
      </c>
      <c r="C27" s="6"/>
      <c r="D27" s="6">
        <f>IF(ISBLANK(Table1[[#This Row],[Forecast]]),Table1[[#This Row],[Actual]],ROUND(Table1[[#This Row],[Forecast]],0))</f>
        <v>6682</v>
      </c>
    </row>
    <row r="28" spans="1:4" x14ac:dyDescent="0.45">
      <c r="A28" s="1">
        <v>2013</v>
      </c>
      <c r="B28" s="6">
        <v>6739</v>
      </c>
      <c r="C28" s="6"/>
      <c r="D28" s="6">
        <f>IF(ISBLANK(Table1[[#This Row],[Forecast]]),Table1[[#This Row],[Actual]],ROUND(Table1[[#This Row],[Forecast]],0))</f>
        <v>6739</v>
      </c>
    </row>
    <row r="29" spans="1:4" x14ac:dyDescent="0.45">
      <c r="A29" s="1">
        <v>2014</v>
      </c>
      <c r="B29" s="6">
        <v>6739</v>
      </c>
      <c r="C29" s="6"/>
      <c r="D29" s="6">
        <f>IF(ISBLANK(Table1[[#This Row],[Forecast]]),Table1[[#This Row],[Actual]],ROUND(Table1[[#This Row],[Forecast]],0))</f>
        <v>6739</v>
      </c>
    </row>
    <row r="30" spans="1:4" x14ac:dyDescent="0.45">
      <c r="A30" s="1">
        <v>2015</v>
      </c>
      <c r="B30" s="6">
        <v>6768</v>
      </c>
      <c r="C30" s="6"/>
      <c r="D30" s="6">
        <f>IF(ISBLANK(Table1[[#This Row],[Forecast]]),Table1[[#This Row],[Actual]],ROUND(Table1[[#This Row],[Forecast]],0))</f>
        <v>6768</v>
      </c>
    </row>
    <row r="31" spans="1:4" x14ac:dyDescent="0.45">
      <c r="A31" s="1">
        <v>2016</v>
      </c>
      <c r="B31" s="6">
        <v>6768</v>
      </c>
      <c r="C31" s="6"/>
      <c r="D31" s="6">
        <f>IF(ISBLANK(Table1[[#This Row],[Forecast]]),Table1[[#This Row],[Actual]],ROUND(Table1[[#This Row],[Forecast]],0))</f>
        <v>6768</v>
      </c>
    </row>
    <row r="32" spans="1:4" x14ac:dyDescent="0.45">
      <c r="A32" s="1">
        <v>2017</v>
      </c>
      <c r="B32" s="6">
        <v>6768</v>
      </c>
      <c r="C32" s="6"/>
      <c r="D32" s="6">
        <f>IF(ISBLANK(Table1[[#This Row],[Forecast]]),Table1[[#This Row],[Actual]],ROUND(Table1[[#This Row],[Forecast]],0))</f>
        <v>6768</v>
      </c>
    </row>
    <row r="33" spans="1:4" x14ac:dyDescent="0.45">
      <c r="A33" s="1">
        <v>2018</v>
      </c>
      <c r="B33" s="6">
        <v>6768</v>
      </c>
      <c r="C33" s="6"/>
      <c r="D33" s="6">
        <f>IF(ISBLANK(Table1[[#This Row],[Forecast]]),Table1[[#This Row],[Actual]],ROUND(Table1[[#This Row],[Forecast]],0))</f>
        <v>6768</v>
      </c>
    </row>
    <row r="34" spans="1:4" x14ac:dyDescent="0.45">
      <c r="A34" s="1">
        <v>2019</v>
      </c>
      <c r="B34" s="6">
        <v>6826</v>
      </c>
      <c r="C34" s="6"/>
      <c r="D34" s="6">
        <f>IF(ISBLANK(Table1[[#This Row],[Forecast]]),Table1[[#This Row],[Actual]],ROUND(Table1[[#This Row],[Forecast]],0))</f>
        <v>6826</v>
      </c>
    </row>
    <row r="35" spans="1:4" x14ac:dyDescent="0.45">
      <c r="A35" s="1">
        <v>2020</v>
      </c>
      <c r="B35" s="6">
        <v>6826</v>
      </c>
      <c r="C35" s="6"/>
      <c r="D35" s="6">
        <f>IF(ISBLANK(Table1[[#This Row],[Forecast]]),Table1[[#This Row],[Actual]],ROUND(Table1[[#This Row],[Forecast]],0))</f>
        <v>6826</v>
      </c>
    </row>
    <row r="36" spans="1:4" x14ac:dyDescent="0.45">
      <c r="A36" s="1">
        <v>2021</v>
      </c>
      <c r="B36" s="6">
        <v>6883</v>
      </c>
      <c r="C36" s="6">
        <v>6883</v>
      </c>
      <c r="D36" s="6">
        <f>IF(ISBLANK(Table1[[#This Row],[Forecast]]),Table1[[#This Row],[Actual]],ROUND(Table1[[#This Row],[Forecast]],0))</f>
        <v>6883</v>
      </c>
    </row>
    <row r="37" spans="1:4" x14ac:dyDescent="0.45">
      <c r="A37" s="1">
        <v>2022</v>
      </c>
      <c r="B37" s="6"/>
      <c r="C37" s="6">
        <v>6871.9749598462049</v>
      </c>
      <c r="D37" s="6">
        <f>IF(ISBLANK(Table1[[#This Row],[Forecast]]),Table1[[#This Row],[Actual]],ROUND(Table1[[#This Row],[Forecast]],0))</f>
        <v>6872</v>
      </c>
    </row>
    <row r="38" spans="1:4" x14ac:dyDescent="0.45">
      <c r="A38" s="1">
        <v>2023</v>
      </c>
      <c r="B38" s="6"/>
      <c r="C38" s="6">
        <v>6889.2445736871887</v>
      </c>
      <c r="D38" s="6">
        <f>IF(ISBLANK(Table1[[#This Row],[Forecast]]),Table1[[#This Row],[Actual]],ROUND(Table1[[#This Row],[Forecast]],0))</f>
        <v>6889</v>
      </c>
    </row>
    <row r="39" spans="1:4" x14ac:dyDescent="0.45">
      <c r="A39" s="1">
        <v>2024</v>
      </c>
      <c r="B39" s="6"/>
      <c r="C39" s="6">
        <v>6906.5141875281715</v>
      </c>
      <c r="D39" s="6">
        <f>IF(ISBLANK(Table1[[#This Row],[Forecast]]),Table1[[#This Row],[Actual]],ROUND(Table1[[#This Row],[Forecast]],0))</f>
        <v>6907</v>
      </c>
    </row>
    <row r="40" spans="1:4" x14ac:dyDescent="0.45">
      <c r="A40" s="1">
        <v>2025</v>
      </c>
      <c r="B40" s="6"/>
      <c r="C40" s="6">
        <v>6923.7838013691544</v>
      </c>
      <c r="D40" s="6">
        <f>IF(ISBLANK(Table1[[#This Row],[Forecast]]),Table1[[#This Row],[Actual]],ROUND(Table1[[#This Row],[Forecast]],0))</f>
        <v>6924</v>
      </c>
    </row>
    <row r="41" spans="1:4" x14ac:dyDescent="0.45">
      <c r="A41" s="1">
        <v>2026</v>
      </c>
      <c r="B41" s="6"/>
      <c r="C41" s="6">
        <v>6941.0534152101372</v>
      </c>
      <c r="D41" s="6">
        <f>IF(ISBLANK(Table1[[#This Row],[Forecast]]),Table1[[#This Row],[Actual]],ROUND(Table1[[#This Row],[Forecast]],0))</f>
        <v>6941</v>
      </c>
    </row>
    <row r="42" spans="1:4" x14ac:dyDescent="0.45">
      <c r="A42" s="1">
        <v>2027</v>
      </c>
      <c r="B42" s="6"/>
      <c r="C42" s="6">
        <v>6958.323029051121</v>
      </c>
      <c r="D42" s="6">
        <f>IF(ISBLANK(Table1[[#This Row],[Forecast]]),Table1[[#This Row],[Actual]],ROUND(Table1[[#This Row],[Forecast]],0))</f>
        <v>6958</v>
      </c>
    </row>
    <row r="43" spans="1:4" x14ac:dyDescent="0.45">
      <c r="A43" s="1">
        <v>2028</v>
      </c>
      <c r="B43" s="6"/>
      <c r="C43" s="6">
        <v>6975.5926428921039</v>
      </c>
      <c r="D43" s="6">
        <f>IF(ISBLANK(Table1[[#This Row],[Forecast]]),Table1[[#This Row],[Actual]],ROUND(Table1[[#This Row],[Forecast]],0))</f>
        <v>6976</v>
      </c>
    </row>
    <row r="44" spans="1:4" x14ac:dyDescent="0.45">
      <c r="A44" s="1">
        <v>2029</v>
      </c>
      <c r="B44" s="6"/>
      <c r="C44" s="6">
        <v>6992.8622567330867</v>
      </c>
      <c r="D44" s="6">
        <f>IF(ISBLANK(Table1[[#This Row],[Forecast]]),Table1[[#This Row],[Actual]],ROUND(Table1[[#This Row],[Forecast]],0))</f>
        <v>6993</v>
      </c>
    </row>
    <row r="45" spans="1:4" x14ac:dyDescent="0.45">
      <c r="A45" s="1">
        <v>2030</v>
      </c>
      <c r="B45" s="6"/>
      <c r="C45" s="6">
        <v>7010.1318705740705</v>
      </c>
      <c r="D45" s="6">
        <f>IF(ISBLANK(Table1[[#This Row],[Forecast]]),Table1[[#This Row],[Actual]],ROUND(Table1[[#This Row],[Forecast]],0))</f>
        <v>7010</v>
      </c>
    </row>
    <row r="46" spans="1:4" x14ac:dyDescent="0.45">
      <c r="A46" s="1">
        <v>2031</v>
      </c>
      <c r="B46" s="6"/>
      <c r="C46" s="6">
        <v>7027.4014844150533</v>
      </c>
      <c r="D46" s="6">
        <f>IF(ISBLANK(Table1[[#This Row],[Forecast]]),Table1[[#This Row],[Actual]],ROUND(Table1[[#This Row],[Forecast]],0))</f>
        <v>7027</v>
      </c>
    </row>
    <row r="47" spans="1:4" x14ac:dyDescent="0.45">
      <c r="A47" s="1">
        <v>2032</v>
      </c>
      <c r="B47" s="6"/>
      <c r="C47" s="6">
        <v>7044.6710982560362</v>
      </c>
      <c r="D47" s="6">
        <f>IF(ISBLANK(Table1[[#This Row],[Forecast]]),Table1[[#This Row],[Actual]],ROUND(Table1[[#This Row],[Forecast]],0))</f>
        <v>7045</v>
      </c>
    </row>
    <row r="48" spans="1:4" x14ac:dyDescent="0.45">
      <c r="A48" s="1">
        <v>2033</v>
      </c>
      <c r="B48" s="6"/>
      <c r="C48" s="6">
        <v>7061.9407120970191</v>
      </c>
      <c r="D48" s="6">
        <f>IF(ISBLANK(Table1[[#This Row],[Forecast]]),Table1[[#This Row],[Actual]],ROUND(Table1[[#This Row],[Forecast]],0))</f>
        <v>7062</v>
      </c>
    </row>
    <row r="49" spans="1:4" x14ac:dyDescent="0.45">
      <c r="A49" s="1">
        <v>2034</v>
      </c>
      <c r="B49" s="6"/>
      <c r="C49" s="6">
        <v>7079.2103259380028</v>
      </c>
      <c r="D49" s="6">
        <f>IF(ISBLANK(Table1[[#This Row],[Forecast]]),Table1[[#This Row],[Actual]],ROUND(Table1[[#This Row],[Forecast]],0))</f>
        <v>7079</v>
      </c>
    </row>
    <row r="50" spans="1:4" x14ac:dyDescent="0.45">
      <c r="A50" s="1">
        <v>2035</v>
      </c>
      <c r="B50" s="6"/>
      <c r="C50" s="6">
        <v>7096.4799397789857</v>
      </c>
      <c r="D50" s="6">
        <f>IF(ISBLANK(Table1[[#This Row],[Forecast]]),Table1[[#This Row],[Actual]],ROUND(Table1[[#This Row],[Forecast]],0))</f>
        <v>7096</v>
      </c>
    </row>
    <row r="51" spans="1:4" x14ac:dyDescent="0.45">
      <c r="A51" s="1">
        <v>2036</v>
      </c>
      <c r="B51" s="6"/>
      <c r="C51" s="6">
        <v>7113.7495536199685</v>
      </c>
      <c r="D51" s="6">
        <f>IF(ISBLANK(Table1[[#This Row],[Forecast]]),Table1[[#This Row],[Actual]],ROUND(Table1[[#This Row],[Forecast]],0))</f>
        <v>7114</v>
      </c>
    </row>
    <row r="52" spans="1:4" x14ac:dyDescent="0.45">
      <c r="A52" s="1">
        <v>2037</v>
      </c>
      <c r="B52" s="6"/>
      <c r="C52" s="6">
        <v>7131.0191674609514</v>
      </c>
      <c r="D52" s="6">
        <f>IF(ISBLANK(Table1[[#This Row],[Forecast]]),Table1[[#This Row],[Actual]],ROUND(Table1[[#This Row],[Forecast]],0))</f>
        <v>7131</v>
      </c>
    </row>
    <row r="53" spans="1:4" x14ac:dyDescent="0.45">
      <c r="A53" s="1">
        <v>2038</v>
      </c>
      <c r="B53" s="6"/>
      <c r="C53" s="6">
        <v>7148.2887813019352</v>
      </c>
      <c r="D53" s="6">
        <f>IF(ISBLANK(Table1[[#This Row],[Forecast]]),Table1[[#This Row],[Actual]],ROUND(Table1[[#This Row],[Forecast]],0))</f>
        <v>7148</v>
      </c>
    </row>
    <row r="54" spans="1:4" x14ac:dyDescent="0.45">
      <c r="A54" s="1">
        <v>2039</v>
      </c>
      <c r="B54" s="6"/>
      <c r="C54" s="6">
        <v>7165.558395142918</v>
      </c>
      <c r="D54" s="6">
        <f>IF(ISBLANK(Table1[[#This Row],[Forecast]]),Table1[[#This Row],[Actual]],ROUND(Table1[[#This Row],[Forecast]],0))</f>
        <v>7166</v>
      </c>
    </row>
    <row r="55" spans="1:4" x14ac:dyDescent="0.45">
      <c r="A55" s="1">
        <v>2040</v>
      </c>
      <c r="B55" s="6"/>
      <c r="C55" s="6">
        <v>7182.8280089839009</v>
      </c>
      <c r="D55" s="6">
        <f>IF(ISBLANK(Table1[[#This Row],[Forecast]]),Table1[[#This Row],[Actual]],ROUND(Table1[[#This Row],[Forecast]],0))</f>
        <v>7183</v>
      </c>
    </row>
    <row r="56" spans="1:4" x14ac:dyDescent="0.45">
      <c r="A56" s="1">
        <v>2041</v>
      </c>
      <c r="B56" s="6"/>
      <c r="C56" s="6">
        <v>7200.0976228248846</v>
      </c>
      <c r="D56" s="6">
        <f>IF(ISBLANK(Table1[[#This Row],[Forecast]]),Table1[[#This Row],[Actual]],ROUND(Table1[[#This Row],[Forecast]],0))</f>
        <v>7200</v>
      </c>
    </row>
    <row r="57" spans="1:4" x14ac:dyDescent="0.45">
      <c r="A57" s="1">
        <v>2042</v>
      </c>
      <c r="B57" s="6"/>
      <c r="C57" s="6">
        <v>7217.3672366658675</v>
      </c>
      <c r="D57" s="6">
        <f>IF(ISBLANK(Table1[[#This Row],[Forecast]]),Table1[[#This Row],[Actual]],ROUND(Table1[[#This Row],[Forecast]],0))</f>
        <v>7217</v>
      </c>
    </row>
    <row r="58" spans="1:4" x14ac:dyDescent="0.45">
      <c r="A58" s="1">
        <v>2043</v>
      </c>
      <c r="B58" s="6"/>
      <c r="C58" s="6">
        <v>7234.6368505068504</v>
      </c>
      <c r="D58" s="6">
        <f>IF(ISBLANK(Table1[[#This Row],[Forecast]]),Table1[[#This Row],[Actual]],ROUND(Table1[[#This Row],[Forecast]],0))</f>
        <v>7235</v>
      </c>
    </row>
    <row r="59" spans="1:4" x14ac:dyDescent="0.45">
      <c r="A59" s="1">
        <v>2044</v>
      </c>
      <c r="B59" s="6"/>
      <c r="C59" s="6">
        <v>7251.9064643478332</v>
      </c>
      <c r="D59" s="6">
        <f>IF(ISBLANK(Table1[[#This Row],[Forecast]]),Table1[[#This Row],[Actual]],ROUND(Table1[[#This Row],[Forecast]],0))</f>
        <v>7252</v>
      </c>
    </row>
    <row r="60" spans="1:4" x14ac:dyDescent="0.45">
      <c r="A60" s="1">
        <v>2045</v>
      </c>
      <c r="B60" s="6"/>
      <c r="C60" s="6">
        <v>7269.176078188817</v>
      </c>
      <c r="D60" s="6">
        <f>IF(ISBLANK(Table1[[#This Row],[Forecast]]),Table1[[#This Row],[Actual]],ROUND(Table1[[#This Row],[Forecast]],0))</f>
        <v>7269</v>
      </c>
    </row>
    <row r="61" spans="1:4" x14ac:dyDescent="0.45">
      <c r="A61" s="1">
        <v>2046</v>
      </c>
      <c r="B61" s="6"/>
      <c r="C61" s="6">
        <v>7286.4456920297998</v>
      </c>
      <c r="D61" s="6">
        <f>IF(ISBLANK(Table1[[#This Row],[Forecast]]),Table1[[#This Row],[Actual]],ROUND(Table1[[#This Row],[Forecast]],0))</f>
        <v>7286</v>
      </c>
    </row>
    <row r="62" spans="1:4" x14ac:dyDescent="0.45">
      <c r="A62" s="1">
        <v>2047</v>
      </c>
      <c r="B62" s="6"/>
      <c r="C62" s="6">
        <v>7303.7153058707827</v>
      </c>
      <c r="D62" s="6">
        <f>IF(ISBLANK(Table1[[#This Row],[Forecast]]),Table1[[#This Row],[Actual]],ROUND(Table1[[#This Row],[Forecast]],0))</f>
        <v>7304</v>
      </c>
    </row>
    <row r="63" spans="1:4" x14ac:dyDescent="0.45">
      <c r="A63" s="1">
        <v>2048</v>
      </c>
      <c r="B63" s="6"/>
      <c r="C63" s="6">
        <v>7320.9849197117655</v>
      </c>
      <c r="D63" s="6">
        <f>IF(ISBLANK(Table1[[#This Row],[Forecast]]),Table1[[#This Row],[Actual]],ROUND(Table1[[#This Row],[Forecast]],0))</f>
        <v>7321</v>
      </c>
    </row>
    <row r="64" spans="1:4" x14ac:dyDescent="0.45">
      <c r="A64" s="1">
        <v>2049</v>
      </c>
      <c r="B64" s="6"/>
      <c r="C64" s="6">
        <v>7338.2545335527493</v>
      </c>
      <c r="D64" s="6">
        <f>IF(ISBLANK(Table1[[#This Row],[Forecast]]),Table1[[#This Row],[Actual]],ROUND(Table1[[#This Row],[Forecast]],0))</f>
        <v>7338</v>
      </c>
    </row>
    <row r="65" spans="1:4" x14ac:dyDescent="0.45">
      <c r="A65" s="1">
        <v>2050</v>
      </c>
      <c r="B65" s="6"/>
      <c r="C65" s="6">
        <v>7355.5241473937322</v>
      </c>
      <c r="D65" s="6">
        <f>IF(ISBLANK(Table1[[#This Row],[Forecast]]),Table1[[#This Row],[Actual]],ROUND(Table1[[#This Row],[Forecast]],0))</f>
        <v>7356</v>
      </c>
    </row>
    <row r="66" spans="1:4" x14ac:dyDescent="0.45">
      <c r="A66" s="1">
        <v>2051</v>
      </c>
      <c r="B66" s="6"/>
      <c r="C66" s="6">
        <v>7372.793761234715</v>
      </c>
      <c r="D66" s="6">
        <f>IF(ISBLANK(Table1[[#This Row],[Forecast]]),Table1[[#This Row],[Actual]],ROUND(Table1[[#This Row],[Forecast]],0))</f>
        <v>7373</v>
      </c>
    </row>
    <row r="67" spans="1:4" x14ac:dyDescent="0.45">
      <c r="A67" s="1">
        <v>2052</v>
      </c>
      <c r="B67" s="6"/>
      <c r="C67" s="6">
        <v>7390.0633750756988</v>
      </c>
      <c r="D67" s="6">
        <f>IF(ISBLANK(Table1[[#This Row],[Forecast]]),Table1[[#This Row],[Actual]],ROUND(Table1[[#This Row],[Forecast]],0))</f>
        <v>7390</v>
      </c>
    </row>
    <row r="68" spans="1:4" x14ac:dyDescent="0.45">
      <c r="A68" s="1">
        <v>2053</v>
      </c>
      <c r="B68" s="6"/>
      <c r="C68" s="6">
        <v>7407.3329889166816</v>
      </c>
      <c r="D68" s="6">
        <f>IF(ISBLANK(Table1[[#This Row],[Forecast]]),Table1[[#This Row],[Actual]],ROUND(Table1[[#This Row],[Forecast]],0))</f>
        <v>7407</v>
      </c>
    </row>
    <row r="69" spans="1:4" x14ac:dyDescent="0.45">
      <c r="A69" s="1">
        <v>2054</v>
      </c>
      <c r="B69" s="6"/>
      <c r="C69" s="6">
        <v>7424.6026027576645</v>
      </c>
      <c r="D69" s="6">
        <f>IF(ISBLANK(Table1[[#This Row],[Forecast]]),Table1[[#This Row],[Actual]],ROUND(Table1[[#This Row],[Forecast]],0))</f>
        <v>7425</v>
      </c>
    </row>
    <row r="70" spans="1:4" x14ac:dyDescent="0.45">
      <c r="A70" s="1">
        <v>2055</v>
      </c>
      <c r="B70" s="6"/>
      <c r="C70" s="6">
        <v>7441.8722165986474</v>
      </c>
      <c r="D70" s="6">
        <f>IF(ISBLANK(Table1[[#This Row],[Forecast]]),Table1[[#This Row],[Actual]],ROUND(Table1[[#This Row],[Forecast]],0))</f>
        <v>7442</v>
      </c>
    </row>
    <row r="71" spans="1:4" x14ac:dyDescent="0.45">
      <c r="A71" s="1">
        <v>2056</v>
      </c>
      <c r="B71" s="6"/>
      <c r="C71" s="6">
        <v>7459.1418304396311</v>
      </c>
      <c r="D71" s="6">
        <f>IF(ISBLANK(Table1[[#This Row],[Forecast]]),Table1[[#This Row],[Actual]],ROUND(Table1[[#This Row],[Forecast]],0))</f>
        <v>7459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AAAD-E58D-46BD-A7F4-408C65A2ABFC}">
  <dimension ref="A1:G44"/>
  <sheetViews>
    <sheetView tabSelected="1" workbookViewId="0">
      <selection activeCell="I24" sqref="I24"/>
    </sheetView>
  </sheetViews>
  <sheetFormatPr defaultRowHeight="14.25" x14ac:dyDescent="0.45"/>
  <cols>
    <col min="1" max="4" width="13.59765625" customWidth="1"/>
    <col min="6" max="7" width="20.59765625" customWidth="1"/>
  </cols>
  <sheetData>
    <row r="1" spans="1:4" x14ac:dyDescent="0.45">
      <c r="A1" s="12" t="s">
        <v>20</v>
      </c>
      <c r="B1" s="12"/>
      <c r="C1" s="9">
        <v>1</v>
      </c>
    </row>
    <row r="2" spans="1:4" x14ac:dyDescent="0.45">
      <c r="A2" s="12" t="s">
        <v>21</v>
      </c>
      <c r="B2" s="12"/>
      <c r="C2" s="8">
        <v>0.05</v>
      </c>
    </row>
    <row r="4" spans="1:4" x14ac:dyDescent="0.45">
      <c r="A4" t="s">
        <v>0</v>
      </c>
      <c r="B4" t="s">
        <v>3</v>
      </c>
      <c r="C4" t="s">
        <v>4</v>
      </c>
      <c r="D4" t="s">
        <v>5</v>
      </c>
    </row>
    <row r="5" spans="1:4" x14ac:dyDescent="0.45">
      <c r="A5">
        <v>2019</v>
      </c>
      <c r="B5" s="6">
        <f>VLOOKUP(Table5[[#This Row],[Year]],Table1[],4,FALSE)*$C$1</f>
        <v>6826</v>
      </c>
      <c r="C5" s="5">
        <f>$C$2</f>
        <v>0.05</v>
      </c>
      <c r="D5" s="6">
        <f>B5*(1+C5)</f>
        <v>7167.3</v>
      </c>
    </row>
    <row r="6" spans="1:4" x14ac:dyDescent="0.45">
      <c r="A6">
        <v>2020</v>
      </c>
      <c r="B6" s="6">
        <f>VLOOKUP(Table5[[#This Row],[Year]],Table1[],4,FALSE)*$C$1</f>
        <v>6826</v>
      </c>
      <c r="C6" s="5">
        <f t="shared" ref="C6:C42" si="0">$C$2</f>
        <v>0.05</v>
      </c>
      <c r="D6" s="6">
        <f>(D5+B6)*(1+C6)</f>
        <v>14692.965</v>
      </c>
    </row>
    <row r="7" spans="1:4" x14ac:dyDescent="0.45">
      <c r="A7">
        <v>2021</v>
      </c>
      <c r="B7" s="6">
        <f>VLOOKUP(Table5[[#This Row],[Year]],Table1[],4,FALSE)*$C$1</f>
        <v>6883</v>
      </c>
      <c r="C7" s="5">
        <f t="shared" si="0"/>
        <v>0.05</v>
      </c>
      <c r="D7" s="6">
        <f t="shared" ref="D7:D42" si="1">(D6+B7)*(1+C7)</f>
        <v>22654.76325</v>
      </c>
    </row>
    <row r="8" spans="1:4" x14ac:dyDescent="0.45">
      <c r="A8">
        <v>2022</v>
      </c>
      <c r="B8" s="6">
        <f>VLOOKUP(Table5[[#This Row],[Year]],Table1[],4,FALSE)*$C$1</f>
        <v>6872</v>
      </c>
      <c r="C8" s="5">
        <f t="shared" si="0"/>
        <v>0.05</v>
      </c>
      <c r="D8" s="6">
        <f t="shared" si="1"/>
        <v>31003.1014125</v>
      </c>
    </row>
    <row r="9" spans="1:4" x14ac:dyDescent="0.45">
      <c r="A9">
        <v>2023</v>
      </c>
      <c r="B9" s="6">
        <f>VLOOKUP(Table5[[#This Row],[Year]],Table1[],4,FALSE)*$C$1</f>
        <v>6889</v>
      </c>
      <c r="C9" s="5">
        <f t="shared" si="0"/>
        <v>0.05</v>
      </c>
      <c r="D9" s="6">
        <f t="shared" si="1"/>
        <v>39786.706483125003</v>
      </c>
    </row>
    <row r="10" spans="1:4" x14ac:dyDescent="0.45">
      <c r="A10">
        <v>2024</v>
      </c>
      <c r="B10" s="6">
        <f>VLOOKUP(Table5[[#This Row],[Year]],Table1[],4,FALSE)*$C$1</f>
        <v>6907</v>
      </c>
      <c r="C10" s="5">
        <f t="shared" si="0"/>
        <v>0.05</v>
      </c>
      <c r="D10" s="6">
        <f t="shared" si="1"/>
        <v>49028.391807281252</v>
      </c>
    </row>
    <row r="11" spans="1:4" x14ac:dyDescent="0.45">
      <c r="A11">
        <v>2025</v>
      </c>
      <c r="B11" s="6">
        <f>VLOOKUP(Table5[[#This Row],[Year]],Table1[],4,FALSE)*$C$1</f>
        <v>6924</v>
      </c>
      <c r="C11" s="5">
        <f t="shared" si="0"/>
        <v>0.05</v>
      </c>
      <c r="D11" s="6">
        <f t="shared" si="1"/>
        <v>58750.011397645314</v>
      </c>
    </row>
    <row r="12" spans="1:4" x14ac:dyDescent="0.45">
      <c r="A12">
        <v>2026</v>
      </c>
      <c r="B12" s="6">
        <f>VLOOKUP(Table5[[#This Row],[Year]],Table1[],4,FALSE)*$C$1</f>
        <v>6941</v>
      </c>
      <c r="C12" s="5">
        <f t="shared" si="0"/>
        <v>0.05</v>
      </c>
      <c r="D12" s="6">
        <f t="shared" si="1"/>
        <v>68975.561967527581</v>
      </c>
    </row>
    <row r="13" spans="1:4" x14ac:dyDescent="0.45">
      <c r="A13">
        <v>2027</v>
      </c>
      <c r="B13" s="6">
        <f>VLOOKUP(Table5[[#This Row],[Year]],Table1[],4,FALSE)*$C$1</f>
        <v>6958</v>
      </c>
      <c r="C13" s="5">
        <f t="shared" si="0"/>
        <v>0.05</v>
      </c>
      <c r="D13" s="6">
        <f t="shared" si="1"/>
        <v>79730.24006590397</v>
      </c>
    </row>
    <row r="14" spans="1:4" x14ac:dyDescent="0.45">
      <c r="A14">
        <v>2028</v>
      </c>
      <c r="B14" s="6">
        <f>VLOOKUP(Table5[[#This Row],[Year]],Table1[],4,FALSE)*$C$1</f>
        <v>6976</v>
      </c>
      <c r="C14" s="5">
        <f t="shared" si="0"/>
        <v>0.05</v>
      </c>
      <c r="D14" s="6">
        <f t="shared" si="1"/>
        <v>91041.55206919917</v>
      </c>
    </row>
    <row r="15" spans="1:4" x14ac:dyDescent="0.45">
      <c r="A15">
        <v>2029</v>
      </c>
      <c r="B15" s="6">
        <f>VLOOKUP(Table5[[#This Row],[Year]],Table1[],4,FALSE)*$C$1</f>
        <v>6993</v>
      </c>
      <c r="C15" s="5">
        <f t="shared" si="0"/>
        <v>0.05</v>
      </c>
      <c r="D15" s="6">
        <f t="shared" si="1"/>
        <v>102936.27967265913</v>
      </c>
    </row>
    <row r="16" spans="1:4" x14ac:dyDescent="0.45">
      <c r="A16">
        <v>2030</v>
      </c>
      <c r="B16" s="6">
        <f>VLOOKUP(Table5[[#This Row],[Year]],Table1[],4,FALSE)*$C$1</f>
        <v>7010</v>
      </c>
      <c r="C16" s="5">
        <f t="shared" si="0"/>
        <v>0.05</v>
      </c>
      <c r="D16" s="6">
        <f t="shared" si="1"/>
        <v>115443.5936562921</v>
      </c>
    </row>
    <row r="17" spans="1:7" x14ac:dyDescent="0.45">
      <c r="A17">
        <v>2031</v>
      </c>
      <c r="B17" s="6">
        <f>VLOOKUP(Table5[[#This Row],[Year]],Table1[],4,FALSE)*$C$1</f>
        <v>7027</v>
      </c>
      <c r="C17" s="5">
        <f t="shared" si="0"/>
        <v>0.05</v>
      </c>
      <c r="D17" s="6">
        <f t="shared" si="1"/>
        <v>128594.12333910671</v>
      </c>
    </row>
    <row r="18" spans="1:7" x14ac:dyDescent="0.45">
      <c r="A18">
        <v>2032</v>
      </c>
      <c r="B18" s="6">
        <f>VLOOKUP(Table5[[#This Row],[Year]],Table1[],4,FALSE)*$C$1</f>
        <v>7045</v>
      </c>
      <c r="C18" s="5">
        <f t="shared" si="0"/>
        <v>0.05</v>
      </c>
      <c r="D18" s="6">
        <f t="shared" si="1"/>
        <v>142421.07950606206</v>
      </c>
    </row>
    <row r="19" spans="1:7" x14ac:dyDescent="0.45">
      <c r="A19">
        <v>2033</v>
      </c>
      <c r="B19" s="6">
        <f>VLOOKUP(Table5[[#This Row],[Year]],Table1[],4,FALSE)*$C$1</f>
        <v>7062</v>
      </c>
      <c r="C19" s="5">
        <f t="shared" si="0"/>
        <v>0.05</v>
      </c>
      <c r="D19" s="6">
        <f t="shared" si="1"/>
        <v>156957.23348136517</v>
      </c>
    </row>
    <row r="20" spans="1:7" x14ac:dyDescent="0.45">
      <c r="A20">
        <v>2034</v>
      </c>
      <c r="B20" s="6">
        <f>VLOOKUP(Table5[[#This Row],[Year]],Table1[],4,FALSE)*$C$1</f>
        <v>7079</v>
      </c>
      <c r="C20" s="5">
        <f t="shared" si="0"/>
        <v>0.05</v>
      </c>
      <c r="D20" s="6">
        <f t="shared" si="1"/>
        <v>172238.04515543344</v>
      </c>
    </row>
    <row r="21" spans="1:7" x14ac:dyDescent="0.45">
      <c r="A21">
        <v>2035</v>
      </c>
      <c r="B21" s="6">
        <f>VLOOKUP(Table5[[#This Row],[Year]],Table1[],4,FALSE)*$C$1</f>
        <v>7096</v>
      </c>
      <c r="C21" s="5">
        <f t="shared" si="0"/>
        <v>0.05</v>
      </c>
      <c r="D21" s="6">
        <f t="shared" si="1"/>
        <v>188300.74741320513</v>
      </c>
      <c r="F21" s="7" t="s">
        <v>24</v>
      </c>
      <c r="G21" s="7"/>
    </row>
    <row r="22" spans="1:7" x14ac:dyDescent="0.45">
      <c r="A22">
        <v>2036</v>
      </c>
      <c r="B22" s="6">
        <f>VLOOKUP(Table5[[#This Row],[Year]],Table1[],4,FALSE)*$C$1</f>
        <v>7114</v>
      </c>
      <c r="C22" s="5">
        <f t="shared" si="0"/>
        <v>0.05</v>
      </c>
      <c r="D22" s="6">
        <f t="shared" si="1"/>
        <v>205185.4847838654</v>
      </c>
      <c r="F22" s="1" t="s">
        <v>15</v>
      </c>
      <c r="G22" s="1" t="s">
        <v>16</v>
      </c>
    </row>
    <row r="23" spans="1:7" x14ac:dyDescent="0.45">
      <c r="A23">
        <v>2037</v>
      </c>
      <c r="B23" s="6">
        <f>VLOOKUP(Table5[[#This Row],[Year]],Table1[],4,FALSE)*$C$1</f>
        <v>7131</v>
      </c>
      <c r="C23" s="5">
        <f t="shared" si="0"/>
        <v>0.05</v>
      </c>
      <c r="D23" s="6">
        <f t="shared" si="1"/>
        <v>222932.30902305868</v>
      </c>
      <c r="F23" s="1" t="s">
        <v>12</v>
      </c>
      <c r="G23" s="6">
        <f>5*3808</f>
        <v>19040</v>
      </c>
    </row>
    <row r="24" spans="1:7" x14ac:dyDescent="0.45">
      <c r="A24">
        <v>2038</v>
      </c>
      <c r="B24" s="6">
        <f>VLOOKUP(Table5[[#This Row],[Year]],Table1[],4,FALSE)*$C$1</f>
        <v>7148</v>
      </c>
      <c r="C24" s="5">
        <f t="shared" si="0"/>
        <v>0.05</v>
      </c>
      <c r="D24" s="6">
        <f t="shared" si="1"/>
        <v>241584.32447421164</v>
      </c>
      <c r="F24" s="1" t="s">
        <v>9</v>
      </c>
      <c r="G24" s="6">
        <f>5*3200</f>
        <v>16000</v>
      </c>
    </row>
    <row r="25" spans="1:7" x14ac:dyDescent="0.45">
      <c r="A25">
        <v>2039</v>
      </c>
      <c r="B25" s="6">
        <f>VLOOKUP(Table5[[#This Row],[Year]],Table1[],4,FALSE)*$C$1</f>
        <v>7166</v>
      </c>
      <c r="C25" s="5">
        <f t="shared" si="0"/>
        <v>0.05</v>
      </c>
      <c r="D25" s="6">
        <f t="shared" si="1"/>
        <v>261187.84069792222</v>
      </c>
      <c r="F25" s="1" t="s">
        <v>11</v>
      </c>
      <c r="G25" s="6">
        <f>5*1472</f>
        <v>7360</v>
      </c>
    </row>
    <row r="26" spans="1:7" x14ac:dyDescent="0.45">
      <c r="A26">
        <v>2040</v>
      </c>
      <c r="B26" s="6">
        <f>VLOOKUP(Table5[[#This Row],[Year]],Table1[],4,FALSE)*$C$1</f>
        <v>7183</v>
      </c>
      <c r="C26" s="5">
        <f t="shared" si="0"/>
        <v>0.05</v>
      </c>
      <c r="D26" s="6">
        <f t="shared" si="1"/>
        <v>281789.38273281837</v>
      </c>
      <c r="F26" s="1" t="s">
        <v>6</v>
      </c>
      <c r="G26" s="6">
        <f>SUBTOTAL(109,Table7[Capital Tax])</f>
        <v>42400</v>
      </c>
    </row>
    <row r="27" spans="1:7" x14ac:dyDescent="0.45">
      <c r="A27">
        <v>2041</v>
      </c>
      <c r="B27" s="6">
        <f>VLOOKUP(Table5[[#This Row],[Year]],Table1[],4,FALSE)*$C$1</f>
        <v>7200</v>
      </c>
      <c r="C27" s="5">
        <f t="shared" si="0"/>
        <v>0.05</v>
      </c>
      <c r="D27" s="6">
        <f t="shared" si="1"/>
        <v>303438.85186945932</v>
      </c>
      <c r="F27" s="11" t="s">
        <v>23</v>
      </c>
    </row>
    <row r="28" spans="1:7" x14ac:dyDescent="0.45">
      <c r="A28">
        <v>2042</v>
      </c>
      <c r="B28" s="6">
        <f>VLOOKUP(Table5[[#This Row],[Year]],Table1[],4,FALSE)*$C$1</f>
        <v>7217</v>
      </c>
      <c r="C28" s="5">
        <f t="shared" si="0"/>
        <v>0.05</v>
      </c>
      <c r="D28" s="6">
        <f t="shared" si="1"/>
        <v>326188.64446293231</v>
      </c>
    </row>
    <row r="29" spans="1:7" x14ac:dyDescent="0.45">
      <c r="A29">
        <v>2043</v>
      </c>
      <c r="B29" s="6">
        <f>VLOOKUP(Table5[[#This Row],[Year]],Table1[],4,FALSE)*$C$1</f>
        <v>7235</v>
      </c>
      <c r="C29" s="5">
        <f t="shared" si="0"/>
        <v>0.05</v>
      </c>
      <c r="D29" s="6">
        <f t="shared" si="1"/>
        <v>350094.82668607892</v>
      </c>
    </row>
    <row r="30" spans="1:7" x14ac:dyDescent="0.45">
      <c r="A30">
        <v>2044</v>
      </c>
      <c r="B30" s="6">
        <f>VLOOKUP(Table5[[#This Row],[Year]],Table1[],4,FALSE)*$C$1</f>
        <v>7252</v>
      </c>
      <c r="C30" s="5">
        <f t="shared" si="0"/>
        <v>0.05</v>
      </c>
      <c r="D30" s="6">
        <f t="shared" si="1"/>
        <v>375214.16802038287</v>
      </c>
    </row>
    <row r="31" spans="1:7" x14ac:dyDescent="0.45">
      <c r="A31">
        <v>2045</v>
      </c>
      <c r="B31" s="6">
        <f>VLOOKUP(Table5[[#This Row],[Year]],Table1[],4,FALSE)*$C$1</f>
        <v>7269</v>
      </c>
      <c r="C31" s="5">
        <f t="shared" si="0"/>
        <v>0.05</v>
      </c>
      <c r="D31" s="6">
        <f t="shared" si="1"/>
        <v>401607.32642140205</v>
      </c>
    </row>
    <row r="32" spans="1:7" x14ac:dyDescent="0.45">
      <c r="A32">
        <v>2046</v>
      </c>
      <c r="B32" s="6">
        <f>VLOOKUP(Table5[[#This Row],[Year]],Table1[],4,FALSE)*$C$1</f>
        <v>7286</v>
      </c>
      <c r="C32" s="5">
        <f t="shared" si="0"/>
        <v>0.05</v>
      </c>
      <c r="D32" s="6">
        <f t="shared" si="1"/>
        <v>429337.99274247215</v>
      </c>
    </row>
    <row r="33" spans="1:4" x14ac:dyDescent="0.45">
      <c r="A33">
        <v>2047</v>
      </c>
      <c r="B33" s="6">
        <f>VLOOKUP(Table5[[#This Row],[Year]],Table1[],4,FALSE)*$C$1</f>
        <v>7304</v>
      </c>
      <c r="C33" s="5">
        <f t="shared" si="0"/>
        <v>0.05</v>
      </c>
      <c r="D33" s="6">
        <f t="shared" si="1"/>
        <v>458474.09237959579</v>
      </c>
    </row>
    <row r="34" spans="1:4" x14ac:dyDescent="0.45">
      <c r="A34">
        <v>2048</v>
      </c>
      <c r="B34" s="6">
        <f>VLOOKUP(Table5[[#This Row],[Year]],Table1[],4,FALSE)*$C$1</f>
        <v>7321</v>
      </c>
      <c r="C34" s="5">
        <f t="shared" si="0"/>
        <v>0.05</v>
      </c>
      <c r="D34" s="6">
        <f t="shared" si="1"/>
        <v>489084.84699857561</v>
      </c>
    </row>
    <row r="35" spans="1:4" x14ac:dyDescent="0.45">
      <c r="A35">
        <v>2049</v>
      </c>
      <c r="B35" s="6">
        <f>VLOOKUP(Table5[[#This Row],[Year]],Table1[],4,FALSE)*$C$1</f>
        <v>7338</v>
      </c>
      <c r="C35" s="5">
        <f t="shared" si="0"/>
        <v>0.05</v>
      </c>
      <c r="D35" s="6">
        <f t="shared" si="1"/>
        <v>521243.9893485044</v>
      </c>
    </row>
    <row r="36" spans="1:4" x14ac:dyDescent="0.45">
      <c r="A36">
        <v>2050</v>
      </c>
      <c r="B36" s="6">
        <f>VLOOKUP(Table5[[#This Row],[Year]],Table1[],4,FALSE)*$C$1</f>
        <v>7356</v>
      </c>
      <c r="C36" s="5">
        <f t="shared" si="0"/>
        <v>0.05</v>
      </c>
      <c r="D36" s="6">
        <f t="shared" si="1"/>
        <v>555029.98881592974</v>
      </c>
    </row>
    <row r="37" spans="1:4" x14ac:dyDescent="0.45">
      <c r="A37">
        <v>2051</v>
      </c>
      <c r="B37" s="6">
        <f>VLOOKUP(Table5[[#This Row],[Year]],Table1[],4,FALSE)*$C$1</f>
        <v>7373</v>
      </c>
      <c r="C37" s="5">
        <f t="shared" si="0"/>
        <v>0.05</v>
      </c>
      <c r="D37" s="6">
        <f t="shared" si="1"/>
        <v>590523.1382567262</v>
      </c>
    </row>
    <row r="38" spans="1:4" x14ac:dyDescent="0.45">
      <c r="A38">
        <v>2052</v>
      </c>
      <c r="B38" s="6">
        <f>VLOOKUP(Table5[[#This Row],[Year]],Table1[],4,FALSE)*$C$1</f>
        <v>7390</v>
      </c>
      <c r="C38" s="5">
        <f t="shared" si="0"/>
        <v>0.05</v>
      </c>
      <c r="D38" s="6">
        <f t="shared" si="1"/>
        <v>627808.79516956257</v>
      </c>
    </row>
    <row r="39" spans="1:4" x14ac:dyDescent="0.45">
      <c r="A39">
        <v>2053</v>
      </c>
      <c r="B39" s="6">
        <f>VLOOKUP(Table5[[#This Row],[Year]],Table1[],4,FALSE)*$C$1</f>
        <v>7407</v>
      </c>
      <c r="C39" s="5">
        <f t="shared" si="0"/>
        <v>0.05</v>
      </c>
      <c r="D39" s="6">
        <f t="shared" si="1"/>
        <v>666976.58492804074</v>
      </c>
    </row>
    <row r="40" spans="1:4" x14ac:dyDescent="0.45">
      <c r="A40">
        <v>2054</v>
      </c>
      <c r="B40" s="6">
        <f>VLOOKUP(Table5[[#This Row],[Year]],Table1[],4,FALSE)*$C$1</f>
        <v>7425</v>
      </c>
      <c r="C40" s="5">
        <f t="shared" si="0"/>
        <v>0.05</v>
      </c>
      <c r="D40" s="6">
        <f t="shared" si="1"/>
        <v>708121.66417444276</v>
      </c>
    </row>
    <row r="41" spans="1:4" x14ac:dyDescent="0.45">
      <c r="A41">
        <v>2055</v>
      </c>
      <c r="B41" s="6">
        <f>VLOOKUP(Table5[[#This Row],[Year]],Table1[],4,FALSE)*$C$1</f>
        <v>7442</v>
      </c>
      <c r="C41" s="5">
        <f t="shared" si="0"/>
        <v>0.05</v>
      </c>
      <c r="D41" s="6">
        <f t="shared" si="1"/>
        <v>751341.84738316492</v>
      </c>
    </row>
    <row r="42" spans="1:4" x14ac:dyDescent="0.45">
      <c r="A42">
        <v>2056</v>
      </c>
      <c r="B42" s="6">
        <f>VLOOKUP(Table5[[#This Row],[Year]],Table1[],4,FALSE)*$C$1</f>
        <v>7459</v>
      </c>
      <c r="C42" s="5">
        <f t="shared" si="0"/>
        <v>0.05</v>
      </c>
      <c r="D42" s="6">
        <f t="shared" si="1"/>
        <v>796740.88975232316</v>
      </c>
    </row>
    <row r="44" spans="1:4" x14ac:dyDescent="0.45">
      <c r="D44" s="10">
        <f>D42/5</f>
        <v>159348.17795046463</v>
      </c>
    </row>
  </sheetData>
  <mergeCells count="2">
    <mergeCell ref="A1:B1"/>
    <mergeCell ref="A2:B2"/>
  </mergeCells>
  <hyperlinks>
    <hyperlink ref="F27" r:id="rId1" location="/calculator/capital-payment" display="Calculate other rate" xr:uid="{CA1A273B-47E6-4926-B7E4-352271060A31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1DC2-44B5-41ED-A280-CFF161A83606}">
  <dimension ref="A1:G44"/>
  <sheetViews>
    <sheetView workbookViewId="0">
      <selection activeCell="G26" sqref="G26"/>
    </sheetView>
  </sheetViews>
  <sheetFormatPr defaultRowHeight="14.25" x14ac:dyDescent="0.45"/>
  <cols>
    <col min="1" max="4" width="13.59765625" style="1" customWidth="1"/>
    <col min="5" max="5" width="9.06640625" style="1"/>
    <col min="6" max="7" width="20.59765625" style="1" customWidth="1"/>
    <col min="8" max="16384" width="9.06640625" style="1"/>
  </cols>
  <sheetData>
    <row r="1" spans="1:4" x14ac:dyDescent="0.45">
      <c r="A1" s="12" t="s">
        <v>20</v>
      </c>
      <c r="B1" s="12"/>
      <c r="C1" s="9">
        <v>1</v>
      </c>
    </row>
    <row r="2" spans="1:4" x14ac:dyDescent="0.45">
      <c r="A2" s="12" t="s">
        <v>21</v>
      </c>
      <c r="B2" s="12"/>
      <c r="C2" s="8">
        <v>2E-3</v>
      </c>
    </row>
    <row r="4" spans="1:4" x14ac:dyDescent="0.45">
      <c r="A4" s="1" t="s">
        <v>0</v>
      </c>
      <c r="B4" s="1" t="s">
        <v>3</v>
      </c>
      <c r="C4" s="1" t="s">
        <v>22</v>
      </c>
      <c r="D4" s="1" t="s">
        <v>5</v>
      </c>
    </row>
    <row r="5" spans="1:4" x14ac:dyDescent="0.45">
      <c r="A5" s="1">
        <v>2019</v>
      </c>
      <c r="B5" s="6">
        <f>VLOOKUP(Table6[[#This Row],[Year]],Table1[],4,FALSE)*$C$1</f>
        <v>6826</v>
      </c>
      <c r="C5" s="5">
        <f>$C$2</f>
        <v>2E-3</v>
      </c>
      <c r="D5" s="6">
        <f>B5*(1+C5)</f>
        <v>6839.652</v>
      </c>
    </row>
    <row r="6" spans="1:4" x14ac:dyDescent="0.45">
      <c r="A6" s="1">
        <v>2020</v>
      </c>
      <c r="B6" s="6">
        <f>VLOOKUP(Table6[[#This Row],[Year]],Table1[],4,FALSE)*$C$1</f>
        <v>6826</v>
      </c>
      <c r="C6" s="5">
        <f t="shared" ref="C6:C42" si="0">$C$2</f>
        <v>2E-3</v>
      </c>
      <c r="D6" s="6">
        <f>(D5+B6)*(1+C6)</f>
        <v>13692.983303999999</v>
      </c>
    </row>
    <row r="7" spans="1:4" x14ac:dyDescent="0.45">
      <c r="A7" s="1">
        <v>2021</v>
      </c>
      <c r="B7" s="6">
        <f>VLOOKUP(Table6[[#This Row],[Year]],Table1[],4,FALSE)*$C$1</f>
        <v>6883</v>
      </c>
      <c r="C7" s="5">
        <f t="shared" si="0"/>
        <v>2E-3</v>
      </c>
      <c r="D7" s="6">
        <f t="shared" ref="D7:D42" si="1">(D6+B7)*(1+C7)</f>
        <v>20617.135270608</v>
      </c>
    </row>
    <row r="8" spans="1:4" x14ac:dyDescent="0.45">
      <c r="A8" s="1">
        <v>2022</v>
      </c>
      <c r="B8" s="6">
        <f>VLOOKUP(Table6[[#This Row],[Year]],Table1[],4,FALSE)*$C$1</f>
        <v>6872</v>
      </c>
      <c r="C8" s="5">
        <f t="shared" si="0"/>
        <v>2E-3</v>
      </c>
      <c r="D8" s="6">
        <f t="shared" si="1"/>
        <v>27544.113541149214</v>
      </c>
    </row>
    <row r="9" spans="1:4" x14ac:dyDescent="0.45">
      <c r="A9" s="1">
        <v>2023</v>
      </c>
      <c r="B9" s="6">
        <f>VLOOKUP(Table6[[#This Row],[Year]],Table1[],4,FALSE)*$C$1</f>
        <v>6889</v>
      </c>
      <c r="C9" s="5">
        <f t="shared" si="0"/>
        <v>2E-3</v>
      </c>
      <c r="D9" s="6">
        <f t="shared" si="1"/>
        <v>34501.979768231511</v>
      </c>
    </row>
    <row r="10" spans="1:4" x14ac:dyDescent="0.45">
      <c r="A10" s="1">
        <v>2024</v>
      </c>
      <c r="B10" s="6">
        <f>VLOOKUP(Table6[[#This Row],[Year]],Table1[],4,FALSE)*$C$1</f>
        <v>6907</v>
      </c>
      <c r="C10" s="5">
        <f t="shared" si="0"/>
        <v>2E-3</v>
      </c>
      <c r="D10" s="6">
        <f t="shared" si="1"/>
        <v>41491.797727767975</v>
      </c>
    </row>
    <row r="11" spans="1:4" x14ac:dyDescent="0.45">
      <c r="A11" s="1">
        <v>2025</v>
      </c>
      <c r="B11" s="6">
        <f>VLOOKUP(Table6[[#This Row],[Year]],Table1[],4,FALSE)*$C$1</f>
        <v>6924</v>
      </c>
      <c r="C11" s="5">
        <f t="shared" si="0"/>
        <v>2E-3</v>
      </c>
      <c r="D11" s="6">
        <f t="shared" si="1"/>
        <v>48512.629323223511</v>
      </c>
    </row>
    <row r="12" spans="1:4" x14ac:dyDescent="0.45">
      <c r="A12" s="1">
        <v>2026</v>
      </c>
      <c r="B12" s="6">
        <f>VLOOKUP(Table6[[#This Row],[Year]],Table1[],4,FALSE)*$C$1</f>
        <v>6941</v>
      </c>
      <c r="C12" s="5">
        <f t="shared" si="0"/>
        <v>2E-3</v>
      </c>
      <c r="D12" s="6">
        <f t="shared" si="1"/>
        <v>55564.536581869957</v>
      </c>
    </row>
    <row r="13" spans="1:4" x14ac:dyDescent="0.45">
      <c r="A13" s="1">
        <v>2027</v>
      </c>
      <c r="B13" s="6">
        <f>VLOOKUP(Table6[[#This Row],[Year]],Table1[],4,FALSE)*$C$1</f>
        <v>6958</v>
      </c>
      <c r="C13" s="5">
        <f t="shared" si="0"/>
        <v>2E-3</v>
      </c>
      <c r="D13" s="6">
        <f t="shared" si="1"/>
        <v>62647.581655033697</v>
      </c>
    </row>
    <row r="14" spans="1:4" x14ac:dyDescent="0.45">
      <c r="A14" s="1">
        <v>2028</v>
      </c>
      <c r="B14" s="6">
        <f>VLOOKUP(Table6[[#This Row],[Year]],Table1[],4,FALSE)*$C$1</f>
        <v>6976</v>
      </c>
      <c r="C14" s="5">
        <f t="shared" si="0"/>
        <v>2E-3</v>
      </c>
      <c r="D14" s="6">
        <f t="shared" si="1"/>
        <v>69762.828818343754</v>
      </c>
    </row>
    <row r="15" spans="1:4" x14ac:dyDescent="0.45">
      <c r="A15" s="1">
        <v>2029</v>
      </c>
      <c r="B15" s="6">
        <f>VLOOKUP(Table6[[#This Row],[Year]],Table1[],4,FALSE)*$C$1</f>
        <v>6993</v>
      </c>
      <c r="C15" s="5">
        <f t="shared" si="0"/>
        <v>2E-3</v>
      </c>
      <c r="D15" s="6">
        <f t="shared" si="1"/>
        <v>76909.34047598044</v>
      </c>
    </row>
    <row r="16" spans="1:4" x14ac:dyDescent="0.45">
      <c r="A16" s="1">
        <v>2030</v>
      </c>
      <c r="B16" s="6">
        <f>VLOOKUP(Table6[[#This Row],[Year]],Table1[],4,FALSE)*$C$1</f>
        <v>7010</v>
      </c>
      <c r="C16" s="5">
        <f t="shared" si="0"/>
        <v>2E-3</v>
      </c>
      <c r="D16" s="6">
        <f t="shared" si="1"/>
        <v>84087.179156932398</v>
      </c>
    </row>
    <row r="17" spans="1:7" x14ac:dyDescent="0.45">
      <c r="A17" s="1">
        <v>2031</v>
      </c>
      <c r="B17" s="6">
        <f>VLOOKUP(Table6[[#This Row],[Year]],Table1[],4,FALSE)*$C$1</f>
        <v>7027</v>
      </c>
      <c r="C17" s="5">
        <f t="shared" si="0"/>
        <v>2E-3</v>
      </c>
      <c r="D17" s="6">
        <f t="shared" si="1"/>
        <v>91296.407515246261</v>
      </c>
    </row>
    <row r="18" spans="1:7" x14ac:dyDescent="0.45">
      <c r="A18" s="1">
        <v>2032</v>
      </c>
      <c r="B18" s="6">
        <f>VLOOKUP(Table6[[#This Row],[Year]],Table1[],4,FALSE)*$C$1</f>
        <v>7045</v>
      </c>
      <c r="C18" s="5">
        <f t="shared" si="0"/>
        <v>2E-3</v>
      </c>
      <c r="D18" s="6">
        <f t="shared" si="1"/>
        <v>98538.090330276755</v>
      </c>
    </row>
    <row r="19" spans="1:7" x14ac:dyDescent="0.45">
      <c r="A19" s="1">
        <v>2033</v>
      </c>
      <c r="B19" s="6">
        <f>VLOOKUP(Table6[[#This Row],[Year]],Table1[],4,FALSE)*$C$1</f>
        <v>7062</v>
      </c>
      <c r="C19" s="5">
        <f t="shared" si="0"/>
        <v>2E-3</v>
      </c>
      <c r="D19" s="6">
        <f t="shared" si="1"/>
        <v>105811.29051093731</v>
      </c>
    </row>
    <row r="20" spans="1:7" x14ac:dyDescent="0.45">
      <c r="A20" s="1">
        <v>2034</v>
      </c>
      <c r="B20" s="6">
        <f>VLOOKUP(Table6[[#This Row],[Year]],Table1[],4,FALSE)*$C$1</f>
        <v>7079</v>
      </c>
      <c r="C20" s="5">
        <f t="shared" si="0"/>
        <v>2E-3</v>
      </c>
      <c r="D20" s="6">
        <f t="shared" si="1"/>
        <v>113116.07109195918</v>
      </c>
    </row>
    <row r="21" spans="1:7" x14ac:dyDescent="0.45">
      <c r="A21" s="1">
        <v>2035</v>
      </c>
      <c r="B21" s="6">
        <f>VLOOKUP(Table6[[#This Row],[Year]],Table1[],4,FALSE)*$C$1</f>
        <v>7096</v>
      </c>
      <c r="C21" s="5">
        <f t="shared" si="0"/>
        <v>2E-3</v>
      </c>
      <c r="D21" s="6">
        <f t="shared" si="1"/>
        <v>120452.49523414311</v>
      </c>
      <c r="F21" s="7" t="s">
        <v>25</v>
      </c>
      <c r="G21" s="7"/>
    </row>
    <row r="22" spans="1:7" x14ac:dyDescent="0.45">
      <c r="A22" s="1">
        <v>2036</v>
      </c>
      <c r="B22" s="6">
        <f>VLOOKUP(Table6[[#This Row],[Year]],Table1[],4,FALSE)*$C$1</f>
        <v>7114</v>
      </c>
      <c r="C22" s="5">
        <f t="shared" si="0"/>
        <v>2E-3</v>
      </c>
      <c r="D22" s="6">
        <f t="shared" si="1"/>
        <v>127821.6282246114</v>
      </c>
      <c r="F22" s="1" t="s">
        <v>15</v>
      </c>
      <c r="G22" s="1" t="s">
        <v>16</v>
      </c>
    </row>
    <row r="23" spans="1:7" x14ac:dyDescent="0.45">
      <c r="A23" s="1">
        <v>2037</v>
      </c>
      <c r="B23" s="6">
        <f>VLOOKUP(Table6[[#This Row],[Year]],Table1[],4,FALSE)*$C$1</f>
        <v>7131</v>
      </c>
      <c r="C23" s="5">
        <f t="shared" si="0"/>
        <v>2E-3</v>
      </c>
      <c r="D23" s="6">
        <f t="shared" si="1"/>
        <v>135222.53348106061</v>
      </c>
      <c r="F23" s="1" t="s">
        <v>12</v>
      </c>
      <c r="G23" s="6">
        <f>5*1345</f>
        <v>6725</v>
      </c>
    </row>
    <row r="24" spans="1:7" x14ac:dyDescent="0.45">
      <c r="A24" s="1">
        <v>2038</v>
      </c>
      <c r="B24" s="6">
        <f>VLOOKUP(Table6[[#This Row],[Year]],Table1[],4,FALSE)*$C$1</f>
        <v>7148</v>
      </c>
      <c r="C24" s="5">
        <f t="shared" si="0"/>
        <v>2E-3</v>
      </c>
      <c r="D24" s="6">
        <f t="shared" si="1"/>
        <v>142655.27454802275</v>
      </c>
      <c r="F24" s="1" t="s">
        <v>9</v>
      </c>
      <c r="G24" s="6">
        <f>5*1130</f>
        <v>5650</v>
      </c>
    </row>
    <row r="25" spans="1:7" x14ac:dyDescent="0.45">
      <c r="A25" s="1">
        <v>2039</v>
      </c>
      <c r="B25" s="6">
        <f>VLOOKUP(Table6[[#This Row],[Year]],Table1[],4,FALSE)*$C$1</f>
        <v>7166</v>
      </c>
      <c r="C25" s="5">
        <f t="shared" si="0"/>
        <v>2E-3</v>
      </c>
      <c r="D25" s="6">
        <f t="shared" si="1"/>
        <v>150120.9170971188</v>
      </c>
      <c r="F25" s="1" t="s">
        <v>11</v>
      </c>
      <c r="G25" s="6">
        <f>5*68</f>
        <v>340</v>
      </c>
    </row>
    <row r="26" spans="1:7" x14ac:dyDescent="0.45">
      <c r="A26" s="1">
        <v>2040</v>
      </c>
      <c r="B26" s="6">
        <f>VLOOKUP(Table6[[#This Row],[Year]],Table1[],4,FALSE)*$C$1</f>
        <v>7183</v>
      </c>
      <c r="C26" s="5">
        <f t="shared" si="0"/>
        <v>2E-3</v>
      </c>
      <c r="D26" s="6">
        <f t="shared" si="1"/>
        <v>157618.52493131303</v>
      </c>
      <c r="F26" s="1" t="s">
        <v>6</v>
      </c>
      <c r="G26" s="6">
        <f>SUBTOTAL(109,Table8[Capital Tax])</f>
        <v>12715</v>
      </c>
    </row>
    <row r="27" spans="1:7" x14ac:dyDescent="0.45">
      <c r="A27" s="1">
        <v>2041</v>
      </c>
      <c r="B27" s="6">
        <f>VLOOKUP(Table6[[#This Row],[Year]],Table1[],4,FALSE)*$C$1</f>
        <v>7200</v>
      </c>
      <c r="C27" s="5">
        <f t="shared" si="0"/>
        <v>2E-3</v>
      </c>
      <c r="D27" s="6">
        <f t="shared" si="1"/>
        <v>165148.16198117565</v>
      </c>
      <c r="F27" s="11" t="s">
        <v>23</v>
      </c>
    </row>
    <row r="28" spans="1:7" x14ac:dyDescent="0.45">
      <c r="A28" s="1">
        <v>2042</v>
      </c>
      <c r="B28" s="6">
        <f>VLOOKUP(Table6[[#This Row],[Year]],Table1[],4,FALSE)*$C$1</f>
        <v>7217</v>
      </c>
      <c r="C28" s="5">
        <f t="shared" si="0"/>
        <v>2E-3</v>
      </c>
      <c r="D28" s="6">
        <f t="shared" si="1"/>
        <v>172709.892305138</v>
      </c>
    </row>
    <row r="29" spans="1:7" x14ac:dyDescent="0.45">
      <c r="A29" s="1">
        <v>2043</v>
      </c>
      <c r="B29" s="6">
        <f>VLOOKUP(Table6[[#This Row],[Year]],Table1[],4,FALSE)*$C$1</f>
        <v>7235</v>
      </c>
      <c r="C29" s="5">
        <f t="shared" si="0"/>
        <v>2E-3</v>
      </c>
      <c r="D29" s="6">
        <f t="shared" si="1"/>
        <v>180304.78208974827</v>
      </c>
    </row>
    <row r="30" spans="1:7" x14ac:dyDescent="0.45">
      <c r="A30" s="1">
        <v>2044</v>
      </c>
      <c r="B30" s="6">
        <f>VLOOKUP(Table6[[#This Row],[Year]],Table1[],4,FALSE)*$C$1</f>
        <v>7252</v>
      </c>
      <c r="C30" s="5">
        <f t="shared" si="0"/>
        <v>2E-3</v>
      </c>
      <c r="D30" s="6">
        <f t="shared" si="1"/>
        <v>187931.89565392776</v>
      </c>
    </row>
    <row r="31" spans="1:7" x14ac:dyDescent="0.45">
      <c r="A31" s="1">
        <v>2045</v>
      </c>
      <c r="B31" s="6">
        <f>VLOOKUP(Table6[[#This Row],[Year]],Table1[],4,FALSE)*$C$1</f>
        <v>7269</v>
      </c>
      <c r="C31" s="5">
        <f t="shared" si="0"/>
        <v>2E-3</v>
      </c>
      <c r="D31" s="6">
        <f t="shared" si="1"/>
        <v>195591.2974452356</v>
      </c>
    </row>
    <row r="32" spans="1:7" x14ac:dyDescent="0.45">
      <c r="A32" s="1">
        <v>2046</v>
      </c>
      <c r="B32" s="6">
        <f>VLOOKUP(Table6[[#This Row],[Year]],Table1[],4,FALSE)*$C$1</f>
        <v>7286</v>
      </c>
      <c r="C32" s="5">
        <f t="shared" si="0"/>
        <v>2E-3</v>
      </c>
      <c r="D32" s="6">
        <f t="shared" si="1"/>
        <v>203283.05204012606</v>
      </c>
    </row>
    <row r="33" spans="1:4" x14ac:dyDescent="0.45">
      <c r="A33" s="1">
        <v>2047</v>
      </c>
      <c r="B33" s="6">
        <f>VLOOKUP(Table6[[#This Row],[Year]],Table1[],4,FALSE)*$C$1</f>
        <v>7304</v>
      </c>
      <c r="C33" s="5">
        <f t="shared" si="0"/>
        <v>2E-3</v>
      </c>
      <c r="D33" s="6">
        <f t="shared" si="1"/>
        <v>211008.2261442063</v>
      </c>
    </row>
    <row r="34" spans="1:4" x14ac:dyDescent="0.45">
      <c r="A34" s="1">
        <v>2048</v>
      </c>
      <c r="B34" s="6">
        <f>VLOOKUP(Table6[[#This Row],[Year]],Table1[],4,FALSE)*$C$1</f>
        <v>7321</v>
      </c>
      <c r="C34" s="5">
        <f t="shared" si="0"/>
        <v>2E-3</v>
      </c>
      <c r="D34" s="6">
        <f t="shared" si="1"/>
        <v>218765.88459649472</v>
      </c>
    </row>
    <row r="35" spans="1:4" x14ac:dyDescent="0.45">
      <c r="A35" s="1">
        <v>2049</v>
      </c>
      <c r="B35" s="6">
        <f>VLOOKUP(Table6[[#This Row],[Year]],Table1[],4,FALSE)*$C$1</f>
        <v>7338</v>
      </c>
      <c r="C35" s="5">
        <f t="shared" si="0"/>
        <v>2E-3</v>
      </c>
      <c r="D35" s="6">
        <f t="shared" si="1"/>
        <v>226556.09236568771</v>
      </c>
    </row>
    <row r="36" spans="1:4" x14ac:dyDescent="0.45">
      <c r="A36" s="1">
        <v>2050</v>
      </c>
      <c r="B36" s="6">
        <f>VLOOKUP(Table6[[#This Row],[Year]],Table1[],4,FALSE)*$C$1</f>
        <v>7356</v>
      </c>
      <c r="C36" s="5">
        <f t="shared" si="0"/>
        <v>2E-3</v>
      </c>
      <c r="D36" s="6">
        <f t="shared" si="1"/>
        <v>234379.91655041909</v>
      </c>
    </row>
    <row r="37" spans="1:4" x14ac:dyDescent="0.45">
      <c r="A37" s="1">
        <v>2051</v>
      </c>
      <c r="B37" s="6">
        <f>VLOOKUP(Table6[[#This Row],[Year]],Table1[],4,FALSE)*$C$1</f>
        <v>7373</v>
      </c>
      <c r="C37" s="5">
        <f t="shared" si="0"/>
        <v>2E-3</v>
      </c>
      <c r="D37" s="6">
        <f t="shared" si="1"/>
        <v>242236.42238351994</v>
      </c>
    </row>
    <row r="38" spans="1:4" x14ac:dyDescent="0.45">
      <c r="A38" s="1">
        <v>2052</v>
      </c>
      <c r="B38" s="6">
        <f>VLOOKUP(Table6[[#This Row],[Year]],Table1[],4,FALSE)*$C$1</f>
        <v>7390</v>
      </c>
      <c r="C38" s="5">
        <f t="shared" si="0"/>
        <v>2E-3</v>
      </c>
      <c r="D38" s="6">
        <f t="shared" si="1"/>
        <v>250125.67522828697</v>
      </c>
    </row>
    <row r="39" spans="1:4" x14ac:dyDescent="0.45">
      <c r="A39" s="1">
        <v>2053</v>
      </c>
      <c r="B39" s="6">
        <f>VLOOKUP(Table6[[#This Row],[Year]],Table1[],4,FALSE)*$C$1</f>
        <v>7407</v>
      </c>
      <c r="C39" s="5">
        <f t="shared" si="0"/>
        <v>2E-3</v>
      </c>
      <c r="D39" s="6">
        <f t="shared" si="1"/>
        <v>258047.74057874354</v>
      </c>
    </row>
    <row r="40" spans="1:4" x14ac:dyDescent="0.45">
      <c r="A40" s="1">
        <v>2054</v>
      </c>
      <c r="B40" s="6">
        <f>VLOOKUP(Table6[[#This Row],[Year]],Table1[],4,FALSE)*$C$1</f>
        <v>7425</v>
      </c>
      <c r="C40" s="5">
        <f t="shared" si="0"/>
        <v>2E-3</v>
      </c>
      <c r="D40" s="6">
        <f t="shared" si="1"/>
        <v>266003.68605990103</v>
      </c>
    </row>
    <row r="41" spans="1:4" x14ac:dyDescent="0.45">
      <c r="A41" s="1">
        <v>2055</v>
      </c>
      <c r="B41" s="6">
        <f>VLOOKUP(Table6[[#This Row],[Year]],Table1[],4,FALSE)*$C$1</f>
        <v>7442</v>
      </c>
      <c r="C41" s="5">
        <f t="shared" si="0"/>
        <v>2E-3</v>
      </c>
      <c r="D41" s="6">
        <f t="shared" si="1"/>
        <v>273992.5774320208</v>
      </c>
    </row>
    <row r="42" spans="1:4" x14ac:dyDescent="0.45">
      <c r="A42" s="1">
        <v>2056</v>
      </c>
      <c r="B42" s="6">
        <f>VLOOKUP(Table6[[#This Row],[Year]],Table1[],4,FALSE)*$C$1</f>
        <v>7459</v>
      </c>
      <c r="C42" s="5">
        <f t="shared" si="0"/>
        <v>2E-3</v>
      </c>
      <c r="D42" s="6">
        <f t="shared" si="1"/>
        <v>282014.48058688483</v>
      </c>
    </row>
    <row r="44" spans="1:4" x14ac:dyDescent="0.45">
      <c r="D44" s="10">
        <f>D42/5</f>
        <v>56402.896117376964</v>
      </c>
    </row>
  </sheetData>
  <mergeCells count="2">
    <mergeCell ref="A1:B1"/>
    <mergeCell ref="A2:B2"/>
  </mergeCells>
  <hyperlinks>
    <hyperlink ref="F27" r:id="rId1" location="/calculator/capital-payment" xr:uid="{597946A1-B30E-4BEB-BD61-719191A203D3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79EC-29F4-464A-BE9C-BA6D086EC7BF}">
  <dimension ref="A1:D18"/>
  <sheetViews>
    <sheetView workbookViewId="0">
      <selection activeCell="F14" sqref="F14"/>
    </sheetView>
  </sheetViews>
  <sheetFormatPr defaultRowHeight="14.25" x14ac:dyDescent="0.45"/>
  <cols>
    <col min="1" max="2" width="17.46484375" bestFit="1" customWidth="1"/>
    <col min="3" max="3" width="12.1328125" bestFit="1" customWidth="1"/>
    <col min="4" max="4" width="10.86328125" bestFit="1" customWidth="1"/>
  </cols>
  <sheetData>
    <row r="1" spans="1:4" s="1" customFormat="1" x14ac:dyDescent="0.45">
      <c r="A1" s="1" t="s">
        <v>7</v>
      </c>
      <c r="B1" s="1" t="s">
        <v>17</v>
      </c>
      <c r="C1" s="1" t="s">
        <v>18</v>
      </c>
    </row>
    <row r="2" spans="1:4" x14ac:dyDescent="0.45">
      <c r="A2" s="3">
        <v>0</v>
      </c>
      <c r="B2">
        <v>0</v>
      </c>
      <c r="C2">
        <v>6700</v>
      </c>
    </row>
    <row r="3" spans="1:4" x14ac:dyDescent="0.45">
      <c r="A3" s="3">
        <v>0.02</v>
      </c>
      <c r="B3">
        <v>6700</v>
      </c>
      <c r="C3">
        <v>11400</v>
      </c>
    </row>
    <row r="4" spans="1:4" x14ac:dyDescent="0.45">
      <c r="A4" s="3">
        <v>0.03</v>
      </c>
      <c r="B4" s="1">
        <v>11400</v>
      </c>
      <c r="C4" s="1">
        <v>16100</v>
      </c>
    </row>
    <row r="5" spans="1:4" x14ac:dyDescent="0.45">
      <c r="A5" s="3">
        <v>0.04</v>
      </c>
      <c r="B5" s="1">
        <v>16100</v>
      </c>
      <c r="C5" s="1">
        <v>23700</v>
      </c>
    </row>
    <row r="6" spans="1:4" x14ac:dyDescent="0.45">
      <c r="A6" s="3">
        <v>0.05</v>
      </c>
      <c r="B6" s="1">
        <v>23700</v>
      </c>
      <c r="C6" s="1">
        <v>33000</v>
      </c>
    </row>
    <row r="7" spans="1:4" x14ac:dyDescent="0.45">
      <c r="A7" s="3">
        <v>0.06</v>
      </c>
      <c r="B7" s="1">
        <v>33000</v>
      </c>
      <c r="C7" s="1">
        <v>43700</v>
      </c>
    </row>
    <row r="8" spans="1:4" x14ac:dyDescent="0.45">
      <c r="A8" s="3">
        <v>7.0000000000000007E-2</v>
      </c>
      <c r="B8" s="1">
        <v>43700</v>
      </c>
      <c r="C8" s="1">
        <v>56100</v>
      </c>
    </row>
    <row r="9" spans="1:4" x14ac:dyDescent="0.45">
      <c r="A9" s="3">
        <v>0.08</v>
      </c>
      <c r="B9" s="1">
        <v>56100</v>
      </c>
      <c r="C9" s="1">
        <v>73000</v>
      </c>
    </row>
    <row r="10" spans="1:4" x14ac:dyDescent="0.45">
      <c r="A10" s="3">
        <v>0.09</v>
      </c>
      <c r="B10" s="1">
        <v>73000</v>
      </c>
      <c r="C10" s="1">
        <v>105500</v>
      </c>
    </row>
    <row r="11" spans="1:4" x14ac:dyDescent="0.45">
      <c r="A11" s="3">
        <v>0.1</v>
      </c>
      <c r="B11" s="1">
        <v>105500</v>
      </c>
      <c r="C11" s="1">
        <v>137700</v>
      </c>
    </row>
    <row r="13" spans="1:4" s="1" customFormat="1" x14ac:dyDescent="0.45">
      <c r="A13" s="13" t="s">
        <v>19</v>
      </c>
      <c r="B13" s="14"/>
      <c r="C13" s="14"/>
      <c r="D13" s="14"/>
    </row>
    <row r="14" spans="1:4" x14ac:dyDescent="0.45">
      <c r="A14" t="s">
        <v>15</v>
      </c>
      <c r="B14" t="s">
        <v>7</v>
      </c>
      <c r="C14" t="s">
        <v>10</v>
      </c>
      <c r="D14" t="s">
        <v>14</v>
      </c>
    </row>
    <row r="15" spans="1:4" x14ac:dyDescent="0.45">
      <c r="A15" t="s">
        <v>8</v>
      </c>
      <c r="B15" s="4">
        <v>0.08</v>
      </c>
      <c r="C15" s="2">
        <v>1.19</v>
      </c>
      <c r="D15" s="4">
        <f>B15*C15</f>
        <v>9.5199999999999993E-2</v>
      </c>
    </row>
    <row r="16" spans="1:4" x14ac:dyDescent="0.45">
      <c r="A16" t="s">
        <v>9</v>
      </c>
      <c r="B16" s="4">
        <v>0.08</v>
      </c>
      <c r="C16" s="2">
        <v>1</v>
      </c>
      <c r="D16" s="4">
        <f t="shared" ref="D16:D17" si="0">B16*C16</f>
        <v>0.08</v>
      </c>
    </row>
    <row r="17" spans="1:4" x14ac:dyDescent="0.45">
      <c r="A17" t="s">
        <v>11</v>
      </c>
      <c r="B17" s="4">
        <v>2.9700000000000001E-2</v>
      </c>
      <c r="C17" s="2">
        <v>1</v>
      </c>
      <c r="D17" s="4">
        <f t="shared" si="0"/>
        <v>2.9700000000000001E-2</v>
      </c>
    </row>
    <row r="18" spans="1:4" x14ac:dyDescent="0.45">
      <c r="A18" s="1" t="s">
        <v>6</v>
      </c>
      <c r="B18" s="1"/>
      <c r="C18" s="1"/>
      <c r="D18" s="4">
        <f>SUBTOTAL(109,Table3[Final Rate])</f>
        <v>0.2049</v>
      </c>
    </row>
  </sheetData>
  <mergeCells count="1">
    <mergeCell ref="A13:D13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3A Contribution</vt:lpstr>
      <vt:lpstr>Brokerage</vt:lpstr>
      <vt:lpstr>Savings</vt:lpstr>
      <vt:lpstr>Marginal Income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Tobler</dc:creator>
  <cp:lastModifiedBy>Aldo Tobler</cp:lastModifiedBy>
  <dcterms:created xsi:type="dcterms:W3CDTF">2021-04-07T21:49:58Z</dcterms:created>
  <dcterms:modified xsi:type="dcterms:W3CDTF">2021-04-15T23:54:34Z</dcterms:modified>
</cp:coreProperties>
</file>